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004318\Desktop\Wilden Portal_CN\06. Resources\Guides\"/>
    </mc:Choice>
  </mc:AlternateContent>
  <bookViews>
    <workbookView xWindow="0" yWindow="0" windowWidth="20496" windowHeight="7752"/>
  </bookViews>
  <sheets>
    <sheet name="Pump Operating Cost" sheetId="4" r:id="rId1"/>
    <sheet name="Pump Comparison" sheetId="5" r:id="rId2"/>
    <sheet name="Plant Evaluation" sheetId="7" r:id="rId3"/>
    <sheet name="Savings Chart" sheetId="8" r:id="rId4"/>
  </sheets>
  <calcPr calcId="152511"/>
</workbook>
</file>

<file path=xl/calcChain.xml><?xml version="1.0" encoding="utf-8"?>
<calcChain xmlns="http://schemas.openxmlformats.org/spreadsheetml/2006/main">
  <c r="M7" i="7" l="1"/>
  <c r="D22" i="4" l="1"/>
  <c r="C4" i="8" l="1"/>
  <c r="D4" i="8"/>
  <c r="E4" i="8"/>
  <c r="F4" i="8"/>
  <c r="G4" i="8"/>
  <c r="H4" i="8"/>
  <c r="I4" i="8"/>
  <c r="J4" i="8"/>
  <c r="K4" i="8"/>
  <c r="L4" i="8"/>
  <c r="M4" i="8"/>
  <c r="N4" i="8"/>
  <c r="O4" i="8"/>
  <c r="P4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D3" i="8"/>
  <c r="E3" i="8"/>
  <c r="F3" i="8"/>
  <c r="G3" i="8"/>
  <c r="H3" i="8"/>
  <c r="I3" i="8"/>
  <c r="J3" i="8"/>
  <c r="K3" i="8"/>
  <c r="L3" i="8"/>
  <c r="M3" i="8"/>
  <c r="N3" i="8"/>
  <c r="O3" i="8"/>
  <c r="P3" i="8"/>
  <c r="C3" i="8"/>
  <c r="T16" i="8"/>
  <c r="T23" i="8"/>
  <c r="D18" i="4"/>
  <c r="D21" i="5" l="1"/>
  <c r="D25" i="5" s="1"/>
  <c r="D31" i="5" s="1"/>
  <c r="L14" i="5"/>
  <c r="P26" i="7"/>
  <c r="V25" i="7"/>
  <c r="U25" i="7"/>
  <c r="L25" i="7"/>
  <c r="M25" i="7"/>
  <c r="W25" i="7"/>
  <c r="X25" i="7" s="1"/>
  <c r="U24" i="7"/>
  <c r="V24" i="7"/>
  <c r="L24" i="7"/>
  <c r="M24" i="7" s="1"/>
  <c r="W24" i="7" s="1"/>
  <c r="X24" i="7" s="1"/>
  <c r="V23" i="7"/>
  <c r="U23" i="7"/>
  <c r="L23" i="7"/>
  <c r="M23" i="7"/>
  <c r="U22" i="7"/>
  <c r="V22" i="7" s="1"/>
  <c r="L22" i="7"/>
  <c r="M22" i="7" s="1"/>
  <c r="U21" i="7"/>
  <c r="V21" i="7" s="1"/>
  <c r="L21" i="7"/>
  <c r="M21" i="7"/>
  <c r="U20" i="7"/>
  <c r="V20" i="7"/>
  <c r="L20" i="7"/>
  <c r="M20" i="7" s="1"/>
  <c r="U19" i="7"/>
  <c r="V19" i="7" s="1"/>
  <c r="L19" i="7"/>
  <c r="M19" i="7"/>
  <c r="U18" i="7"/>
  <c r="V18" i="7"/>
  <c r="M18" i="7"/>
  <c r="L18" i="7"/>
  <c r="U17" i="7"/>
  <c r="V17" i="7" s="1"/>
  <c r="L17" i="7"/>
  <c r="M17" i="7" s="1"/>
  <c r="U15" i="7"/>
  <c r="V15" i="7" s="1"/>
  <c r="L15" i="7"/>
  <c r="M15" i="7" s="1"/>
  <c r="U14" i="7"/>
  <c r="V14" i="7" s="1"/>
  <c r="L14" i="7"/>
  <c r="M14" i="7" s="1"/>
  <c r="U13" i="7"/>
  <c r="V13" i="7" s="1"/>
  <c r="L13" i="7"/>
  <c r="M13" i="7" s="1"/>
  <c r="W13" i="7" s="1"/>
  <c r="X13" i="7" s="1"/>
  <c r="U12" i="7"/>
  <c r="V12" i="7" s="1"/>
  <c r="L12" i="7"/>
  <c r="M12" i="7" s="1"/>
  <c r="U11" i="7"/>
  <c r="V11" i="7" s="1"/>
  <c r="L11" i="7"/>
  <c r="M11" i="7" s="1"/>
  <c r="W11" i="7" s="1"/>
  <c r="X11" i="7" s="1"/>
  <c r="U10" i="7"/>
  <c r="V10" i="7" s="1"/>
  <c r="W10" i="7" s="1"/>
  <c r="X10" i="7" s="1"/>
  <c r="M10" i="7"/>
  <c r="L10" i="7"/>
  <c r="U9" i="7"/>
  <c r="V9" i="7" s="1"/>
  <c r="L9" i="7"/>
  <c r="M9" i="7" s="1"/>
  <c r="U8" i="7"/>
  <c r="V8" i="7" s="1"/>
  <c r="W8" i="7" s="1"/>
  <c r="X8" i="7" s="1"/>
  <c r="M8" i="7"/>
  <c r="L8" i="7"/>
  <c r="L16" i="7"/>
  <c r="M16" i="7"/>
  <c r="U16" i="7"/>
  <c r="V16" i="7" s="1"/>
  <c r="V6" i="7"/>
  <c r="W6" i="7" s="1"/>
  <c r="U7" i="7"/>
  <c r="V7" i="7" s="1"/>
  <c r="W7" i="7" s="1"/>
  <c r="X7" i="7" s="1"/>
  <c r="U6" i="7"/>
  <c r="M6" i="7"/>
  <c r="L7" i="7"/>
  <c r="L6" i="7"/>
  <c r="F21" i="5"/>
  <c r="F25" i="5" s="1"/>
  <c r="W17" i="7" l="1"/>
  <c r="X17" i="7" s="1"/>
  <c r="W23" i="7"/>
  <c r="X23" i="7" s="1"/>
  <c r="W21" i="7"/>
  <c r="X21" i="7" s="1"/>
  <c r="W22" i="7"/>
  <c r="X22" i="7" s="1"/>
  <c r="W19" i="7"/>
  <c r="X19" i="7" s="1"/>
  <c r="W12" i="7"/>
  <c r="X12" i="7" s="1"/>
  <c r="W14" i="7"/>
  <c r="X14" i="7" s="1"/>
  <c r="W18" i="7"/>
  <c r="X18" i="7" s="1"/>
  <c r="W20" i="7"/>
  <c r="X20" i="7" s="1"/>
  <c r="W16" i="7"/>
  <c r="X16" i="7" s="1"/>
  <c r="W15" i="7"/>
  <c r="X15" i="7" s="1"/>
  <c r="X6" i="7"/>
  <c r="W9" i="7"/>
  <c r="X9" i="7" s="1"/>
  <c r="D27" i="5"/>
  <c r="W26" i="7" l="1"/>
  <c r="D29" i="5"/>
  <c r="F31" i="5"/>
</calcChain>
</file>

<file path=xl/sharedStrings.xml><?xml version="1.0" encoding="utf-8"?>
<sst xmlns="http://schemas.openxmlformats.org/spreadsheetml/2006/main" count="125" uniqueCount="86">
  <si>
    <t>Hours per day of operation</t>
  </si>
  <si>
    <t>Days per week of operation</t>
  </si>
  <si>
    <t>Enter the customer's application parameters here</t>
  </si>
  <si>
    <t>Horsepower Consumed to generate the compressed air (HP)</t>
  </si>
  <si>
    <t>Pump Operating Cost</t>
  </si>
  <si>
    <t>Annual Operating Cost (Energy Cost)</t>
  </si>
  <si>
    <t>Estimated mechanical horsepower on compressor input shaft.  Note, assumes standard temperature and pressure at compressor intake (14.7 psia and 68 deg.F) and a compressor efficiency of 86.87%.</t>
  </si>
  <si>
    <t>Plant Compressed Air Supply Pressure (PSI):</t>
  </si>
  <si>
    <t>Air Consumed by Pump (SCFM):</t>
  </si>
  <si>
    <t>Hours per day of operation:</t>
  </si>
  <si>
    <t>Days per week of operation:</t>
  </si>
  <si>
    <t>Electricity Cost ($ / KW-hr):</t>
  </si>
  <si>
    <t>Estimated Energy Cost (Enter the customer's cost per kW-hr)</t>
  </si>
  <si>
    <t>Pump 1</t>
  </si>
  <si>
    <t>Pump 2</t>
  </si>
  <si>
    <t>Pump Cost ($):</t>
  </si>
  <si>
    <t>Annual Savings switching from Pump 1 to Pump 2</t>
  </si>
  <si>
    <t>Annual Operating Cost (Energy Cost):</t>
  </si>
  <si>
    <t>Return on Investment (Years):</t>
  </si>
  <si>
    <t>This is how long (in years) it will take to recover the extra expense of switching to pump 2</t>
  </si>
  <si>
    <t>Pump Operating Cost Comparison</t>
  </si>
  <si>
    <t>Plant Evaluation</t>
  </si>
  <si>
    <t>Pump Brand:</t>
  </si>
  <si>
    <t>Pump Model:</t>
  </si>
  <si>
    <t>Wilden</t>
  </si>
  <si>
    <t>Pump 1 Brand</t>
  </si>
  <si>
    <t>Pump Location
or ID</t>
  </si>
  <si>
    <t>Sump 1</t>
  </si>
  <si>
    <t>Pump 1 Model</t>
  </si>
  <si>
    <t>Pump 2 Brand</t>
  </si>
  <si>
    <t>Pump 2 Model</t>
  </si>
  <si>
    <t>Pump 1 Cost</t>
  </si>
  <si>
    <t>Air Consumed by Pump 1 (SCFM)</t>
  </si>
  <si>
    <t>Horsepower Consumed by Pump 1</t>
  </si>
  <si>
    <t xml:space="preserve">Pump 1 Annual Operating Cost </t>
  </si>
  <si>
    <t>Pump 2 Cost</t>
  </si>
  <si>
    <t>Air Consumed by Pump 2 (SCFM)</t>
  </si>
  <si>
    <t>Horsepower Consumed by Pump 2</t>
  </si>
  <si>
    <t xml:space="preserve">Pump 2 Annual Operating Cost </t>
  </si>
  <si>
    <t>Sump 2</t>
  </si>
  <si>
    <t>Sump 3</t>
  </si>
  <si>
    <t>Sump 4</t>
  </si>
  <si>
    <t>Sump 5</t>
  </si>
  <si>
    <t>Sump 6</t>
  </si>
  <si>
    <t>Sump 7</t>
  </si>
  <si>
    <t>Sump 8</t>
  </si>
  <si>
    <t>Sump 9</t>
  </si>
  <si>
    <t>Sump 10</t>
  </si>
  <si>
    <t>Sump 11</t>
  </si>
  <si>
    <t>Sump 12</t>
  </si>
  <si>
    <t>Sump 13</t>
  </si>
  <si>
    <t>Sump 14</t>
  </si>
  <si>
    <t>Sump 15</t>
  </si>
  <si>
    <t>Sump 16</t>
  </si>
  <si>
    <t>Sump 17</t>
  </si>
  <si>
    <t>Sump 18</t>
  </si>
  <si>
    <t>Sump 19</t>
  </si>
  <si>
    <t>Sump 20</t>
  </si>
  <si>
    <t>Note: This estimation method ignores Demand Cost which is approximately 2.5% of Energy Cost.  Also note, this calculation assumes a Compressor Electric Motor Efficiency of 92.5% and a Compressor Load Factor of 1.  The hp calculation is based on a FULLY LOADED rotary screw air compressor.  Air compressor control design (modulation, load/no load, variable speed drive, variable displacement) may change end user actual Bhp draw.</t>
  </si>
  <si>
    <t>PS 1520 Rubber/Al</t>
  </si>
  <si>
    <t>PS400 Bolted AL</t>
  </si>
  <si>
    <t>Energy Savings</t>
  </si>
  <si>
    <t>Difference in Air Consumed by Pump (SCFM):</t>
  </si>
  <si>
    <t>Hours Operating per Day (Hours)</t>
  </si>
  <si>
    <t>1.5" payback line</t>
  </si>
  <si>
    <t>2" payback line</t>
  </si>
  <si>
    <t>3" payback line</t>
  </si>
  <si>
    <t>Payback line is when savings = ~30% of cost of the pump</t>
  </si>
  <si>
    <t>Difference in Air Consumption (SCFM) Between Wilden and Competitor</t>
  </si>
  <si>
    <t>PS820 Alum/Rubber</t>
  </si>
  <si>
    <t>PD-20 Alum/Rubber</t>
  </si>
  <si>
    <t>ARO Expert Series</t>
  </si>
  <si>
    <t>Discharge Pressure</t>
  </si>
  <si>
    <t>Flow</t>
  </si>
  <si>
    <t>Air Pressure</t>
  </si>
  <si>
    <t>Need 2 of 3</t>
  </si>
  <si>
    <t>Brand1</t>
  </si>
  <si>
    <t>Brand2</t>
  </si>
  <si>
    <t>Brand3</t>
  </si>
  <si>
    <t>Brand4</t>
  </si>
  <si>
    <t>Brand5</t>
  </si>
  <si>
    <t>Model 1</t>
  </si>
  <si>
    <t>Model 2</t>
  </si>
  <si>
    <t>Model 3</t>
  </si>
  <si>
    <t>Model 4</t>
  </si>
  <si>
    <t>Model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</si>
</sst>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/>
      <diagonal/>
    </border>
    <border>
      <left/>
      <right/>
      <top/>
      <bottom style="thick">
        <color theme="3"/>
      </bottom>
      <diagonal/>
    </border>
    <border>
      <left style="thick">
        <color theme="3"/>
      </left>
      <right style="thick">
        <color theme="8"/>
      </right>
      <top style="thick">
        <color theme="3"/>
      </top>
      <bottom/>
      <diagonal/>
    </border>
    <border>
      <left style="thick">
        <color theme="3"/>
      </left>
      <right style="thick">
        <color theme="8"/>
      </right>
      <top/>
      <bottom/>
      <diagonal/>
    </border>
    <border>
      <left style="thick">
        <color theme="8"/>
      </left>
      <right/>
      <top style="thick">
        <color theme="8"/>
      </top>
      <bottom/>
      <diagonal/>
    </border>
    <border>
      <left style="thick">
        <color theme="3"/>
      </left>
      <right style="thick">
        <color theme="8"/>
      </right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/>
      <right style="thick">
        <color theme="8"/>
      </right>
      <top/>
      <bottom style="thick">
        <color theme="8"/>
      </bottom>
      <diagonal/>
    </border>
    <border>
      <left/>
      <right style="thick">
        <color theme="8"/>
      </right>
      <top/>
      <bottom/>
      <diagonal/>
    </border>
    <border>
      <left style="thick">
        <color theme="8"/>
      </left>
      <right/>
      <top/>
      <bottom/>
      <diagonal/>
    </border>
    <border>
      <left style="thick">
        <color theme="8"/>
      </left>
      <right style="thick">
        <color theme="9"/>
      </right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/>
      <top/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double">
        <color theme="3"/>
      </left>
      <right/>
      <top/>
      <bottom style="thick">
        <color theme="8"/>
      </bottom>
      <diagonal/>
    </border>
    <border>
      <left style="thick">
        <color theme="8"/>
      </left>
      <right style="double">
        <color theme="3"/>
      </right>
      <top style="thick">
        <color theme="8"/>
      </top>
      <bottom/>
      <diagonal/>
    </border>
    <border>
      <left/>
      <right style="double">
        <color theme="3"/>
      </right>
      <top/>
      <bottom/>
      <diagonal/>
    </border>
    <border>
      <left style="thick">
        <color theme="9"/>
      </left>
      <right style="double">
        <color theme="3"/>
      </right>
      <top style="thick">
        <color theme="9"/>
      </top>
      <bottom/>
      <diagonal/>
    </border>
    <border>
      <left/>
      <right style="double">
        <color theme="8"/>
      </right>
      <top style="thick">
        <color theme="9"/>
      </top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 style="thick">
        <color theme="9"/>
      </top>
      <bottom/>
      <diagonal/>
    </border>
    <border>
      <left style="double">
        <color theme="3"/>
      </left>
      <right/>
      <top style="thick">
        <color theme="8"/>
      </top>
      <bottom/>
      <diagonal/>
    </border>
    <border>
      <left style="double">
        <color theme="3"/>
      </left>
      <right/>
      <top style="thick">
        <color theme="9"/>
      </top>
      <bottom/>
      <diagonal/>
    </border>
    <border>
      <left/>
      <right style="double">
        <color theme="8"/>
      </right>
      <top style="thick">
        <color theme="8"/>
      </top>
      <bottom/>
      <diagonal/>
    </border>
    <border>
      <left/>
      <right style="double">
        <color theme="8"/>
      </right>
      <top/>
      <bottom style="thick">
        <color theme="9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44" fontId="1" fillId="0" borderId="0" xfId="2" applyFill="1" applyAlignment="1">
      <alignment horizontal="center"/>
    </xf>
    <xf numFmtId="0" fontId="0" fillId="0" borderId="0" xfId="0" applyFill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7" fontId="1" fillId="0" borderId="2" xfId="2" applyNumberFormat="1" applyFill="1" applyBorder="1" applyAlignment="1">
      <alignment horizontal="center"/>
    </xf>
    <xf numFmtId="0" fontId="7" fillId="0" borderId="0" xfId="0" applyFont="1"/>
    <xf numFmtId="0" fontId="0" fillId="3" borderId="0" xfId="0" applyFill="1" applyAlignment="1">
      <alignment horizontal="right" vertical="center" wrapText="1"/>
    </xf>
    <xf numFmtId="44" fontId="1" fillId="2" borderId="2" xfId="2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/>
    </xf>
    <xf numFmtId="44" fontId="1" fillId="2" borderId="1" xfId="2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44" fontId="1" fillId="2" borderId="7" xfId="2" applyFill="1" applyBorder="1" applyAlignment="1">
      <alignment horizontal="center" vertical="center"/>
    </xf>
    <xf numFmtId="44" fontId="1" fillId="2" borderId="1" xfId="2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165" fontId="0" fillId="0" borderId="0" xfId="0" applyNumberFormat="1"/>
    <xf numFmtId="44" fontId="0" fillId="0" borderId="0" xfId="0" applyNumberFormat="1"/>
    <xf numFmtId="164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Fill="1" applyAlignment="1">
      <alignment horizontal="right"/>
    </xf>
    <xf numFmtId="44" fontId="8" fillId="0" borderId="0" xfId="2" applyFont="1" applyFill="1" applyAlignment="1">
      <alignment horizontal="center"/>
    </xf>
    <xf numFmtId="0" fontId="8" fillId="3" borderId="0" xfId="0" applyFont="1" applyFill="1" applyAlignment="1">
      <alignment horizontal="right" vertical="center" wrapText="1"/>
    </xf>
    <xf numFmtId="2" fontId="8" fillId="3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7" fontId="8" fillId="2" borderId="2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center"/>
    </xf>
    <xf numFmtId="0" fontId="8" fillId="2" borderId="2" xfId="0" applyFont="1" applyFill="1" applyBorder="1" applyAlignment="1">
      <alignment horizontal="right"/>
    </xf>
    <xf numFmtId="7" fontId="8" fillId="2" borderId="2" xfId="2" applyNumberFormat="1" applyFont="1" applyFill="1" applyBorder="1" applyAlignment="1">
      <alignment horizontal="center"/>
    </xf>
    <xf numFmtId="0" fontId="8" fillId="0" borderId="0" xfId="0" applyFont="1" applyFill="1" applyBorder="1"/>
    <xf numFmtId="2" fontId="8" fillId="2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166" fontId="0" fillId="0" borderId="0" xfId="0" applyNumberFormat="1" applyFill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0" fillId="7" borderId="0" xfId="0" applyNumberFormat="1" applyFill="1" applyBorder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0" fontId="3" fillId="0" borderId="0" xfId="0" applyFont="1"/>
    <xf numFmtId="166" fontId="0" fillId="0" borderId="0" xfId="0" applyNumberFormat="1" applyFill="1" applyBorder="1" applyAlignment="1">
      <alignment horizontal="center" vertical="center"/>
    </xf>
    <xf numFmtId="166" fontId="0" fillId="8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6" fontId="0" fillId="0" borderId="18" xfId="0" applyNumberFormat="1" applyFill="1" applyBorder="1" applyAlignment="1">
      <alignment horizontal="center" vertical="center"/>
    </xf>
    <xf numFmtId="166" fontId="0" fillId="7" borderId="19" xfId="0" applyNumberFormat="1" applyFill="1" applyBorder="1" applyAlignment="1">
      <alignment horizontal="center" vertical="center"/>
    </xf>
    <xf numFmtId="166" fontId="0" fillId="0" borderId="20" xfId="0" applyNumberFormat="1" applyFill="1" applyBorder="1" applyAlignment="1">
      <alignment horizontal="center" vertical="center"/>
    </xf>
    <xf numFmtId="166" fontId="0" fillId="7" borderId="21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166" fontId="0" fillId="7" borderId="23" xfId="0" applyNumberFormat="1" applyFill="1" applyBorder="1" applyAlignment="1">
      <alignment horizontal="center" vertical="center"/>
    </xf>
    <xf numFmtId="166" fontId="0" fillId="7" borderId="24" xfId="0" applyNumberFormat="1" applyFill="1" applyBorder="1" applyAlignment="1">
      <alignment horizontal="center" vertical="center"/>
    </xf>
    <xf numFmtId="166" fontId="0" fillId="7" borderId="26" xfId="0" applyNumberFormat="1" applyFill="1" applyBorder="1" applyAlignment="1">
      <alignment horizontal="center" vertical="center"/>
    </xf>
    <xf numFmtId="166" fontId="0" fillId="7" borderId="27" xfId="0" applyNumberFormat="1" applyFill="1" applyBorder="1" applyAlignment="1">
      <alignment horizontal="center" vertical="center"/>
    </xf>
    <xf numFmtId="166" fontId="0" fillId="7" borderId="29" xfId="0" applyNumberFormat="1" applyFill="1" applyBorder="1" applyAlignment="1">
      <alignment horizontal="center" vertical="center"/>
    </xf>
    <xf numFmtId="166" fontId="0" fillId="7" borderId="28" xfId="0" applyNumberFormat="1" applyFill="1" applyBorder="1" applyAlignment="1">
      <alignment horizontal="center" vertical="center"/>
    </xf>
    <xf numFmtId="166" fontId="0" fillId="0" borderId="27" xfId="0" applyNumberFormat="1" applyFill="1" applyBorder="1" applyAlignment="1">
      <alignment horizontal="center" vertical="center"/>
    </xf>
    <xf numFmtId="166" fontId="0" fillId="8" borderId="32" xfId="0" applyNumberFormat="1" applyFill="1" applyBorder="1" applyAlignment="1">
      <alignment horizontal="center" vertical="center"/>
    </xf>
    <xf numFmtId="166" fontId="0" fillId="8" borderId="36" xfId="0" applyNumberFormat="1" applyFill="1" applyBorder="1" applyAlignment="1">
      <alignment horizontal="center" vertical="center"/>
    </xf>
    <xf numFmtId="166" fontId="0" fillId="0" borderId="35" xfId="0" applyNumberFormat="1" applyFill="1" applyBorder="1" applyAlignment="1">
      <alignment horizontal="center" vertical="center"/>
    </xf>
    <xf numFmtId="166" fontId="0" fillId="8" borderId="34" xfId="0" applyNumberFormat="1" applyFill="1" applyBorder="1" applyAlignment="1">
      <alignment horizontal="center" vertical="center"/>
    </xf>
    <xf numFmtId="166" fontId="0" fillId="0" borderId="38" xfId="0" applyNumberFormat="1" applyFill="1" applyBorder="1" applyAlignment="1">
      <alignment horizontal="center" vertical="center"/>
    </xf>
    <xf numFmtId="166" fontId="0" fillId="8" borderId="41" xfId="0" applyNumberFormat="1" applyFill="1" applyBorder="1" applyAlignment="1">
      <alignment horizontal="center" vertical="center"/>
    </xf>
    <xf numFmtId="166" fontId="0" fillId="8" borderId="40" xfId="0" applyNumberFormat="1" applyFill="1" applyBorder="1" applyAlignment="1">
      <alignment horizontal="center" vertical="center"/>
    </xf>
    <xf numFmtId="166" fontId="0" fillId="8" borderId="42" xfId="0" applyNumberFormat="1" applyFill="1" applyBorder="1" applyAlignment="1">
      <alignment horizontal="center" vertical="center"/>
    </xf>
    <xf numFmtId="166" fontId="0" fillId="8" borderId="43" xfId="0" applyNumberFormat="1" applyFill="1" applyBorder="1" applyAlignment="1">
      <alignment horizontal="center" vertical="center"/>
    </xf>
    <xf numFmtId="166" fontId="0" fillId="8" borderId="44" xfId="0" applyNumberFormat="1" applyFill="1" applyBorder="1" applyAlignment="1">
      <alignment horizontal="center" vertical="center"/>
    </xf>
    <xf numFmtId="166" fontId="0" fillId="8" borderId="46" xfId="0" applyNumberFormat="1" applyFill="1" applyBorder="1" applyAlignment="1">
      <alignment horizontal="center" vertical="center"/>
    </xf>
    <xf numFmtId="166" fontId="0" fillId="4" borderId="25" xfId="0" applyNumberFormat="1" applyFill="1" applyBorder="1" applyAlignment="1">
      <alignment horizontal="center" vertical="center"/>
    </xf>
    <xf numFmtId="166" fontId="0" fillId="4" borderId="31" xfId="0" applyNumberFormat="1" applyFill="1" applyBorder="1" applyAlignment="1">
      <alignment horizontal="center" vertical="center"/>
    </xf>
    <xf numFmtId="166" fontId="0" fillId="4" borderId="34" xfId="0" applyNumberFormat="1" applyFill="1" applyBorder="1" applyAlignment="1">
      <alignment horizontal="center" vertical="center"/>
    </xf>
    <xf numFmtId="166" fontId="0" fillId="4" borderId="33" xfId="0" applyNumberFormat="1" applyFill="1" applyBorder="1" applyAlignment="1">
      <alignment horizontal="center" vertical="center"/>
    </xf>
    <xf numFmtId="166" fontId="0" fillId="4" borderId="30" xfId="0" applyNumberFormat="1" applyFill="1" applyBorder="1" applyAlignment="1">
      <alignment horizontal="center" vertical="center"/>
    </xf>
    <xf numFmtId="166" fontId="0" fillId="4" borderId="35" xfId="0" applyNumberFormat="1" applyFill="1" applyBorder="1" applyAlignment="1">
      <alignment horizontal="center" vertical="center"/>
    </xf>
    <xf numFmtId="166" fontId="0" fillId="4" borderId="39" xfId="0" applyNumberFormat="1" applyFill="1" applyBorder="1" applyAlignment="1">
      <alignment horizontal="center" vertical="center"/>
    </xf>
    <xf numFmtId="166" fontId="0" fillId="4" borderId="40" xfId="0" applyNumberFormat="1" applyFill="1" applyBorder="1" applyAlignment="1">
      <alignment horizontal="center" vertical="center"/>
    </xf>
    <xf numFmtId="166" fontId="0" fillId="4" borderId="45" xfId="0" applyNumberFormat="1" applyFill="1" applyBorder="1" applyAlignment="1">
      <alignment horizontal="center" vertical="center"/>
    </xf>
    <xf numFmtId="166" fontId="0" fillId="4" borderId="47" xfId="0" applyNumberFormat="1" applyFill="1" applyBorder="1" applyAlignment="1">
      <alignment horizontal="center" vertical="center"/>
    </xf>
    <xf numFmtId="166" fontId="0" fillId="4" borderId="43" xfId="0" applyNumberFormat="1" applyFill="1" applyBorder="1" applyAlignment="1">
      <alignment horizontal="center" vertical="center"/>
    </xf>
    <xf numFmtId="166" fontId="0" fillId="4" borderId="48" xfId="0" applyNumberFormat="1" applyFill="1" applyBorder="1" applyAlignment="1">
      <alignment horizontal="center" vertical="center"/>
    </xf>
    <xf numFmtId="0" fontId="0" fillId="7" borderId="49" xfId="0" applyFill="1" applyBorder="1"/>
    <xf numFmtId="0" fontId="0" fillId="5" borderId="49" xfId="0" applyFill="1" applyBorder="1"/>
    <xf numFmtId="0" fontId="0" fillId="8" borderId="49" xfId="0" applyFill="1" applyBorder="1"/>
    <xf numFmtId="166" fontId="0" fillId="8" borderId="37" xfId="0" applyNumberFormat="1" applyFill="1" applyBorder="1" applyAlignment="1">
      <alignment horizontal="center" vertical="center"/>
    </xf>
    <xf numFmtId="7" fontId="0" fillId="0" borderId="0" xfId="0" applyNumberFormat="1"/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7" fontId="13" fillId="0" borderId="2" xfId="2" applyNumberFormat="1" applyFont="1" applyFill="1" applyBorder="1" applyAlignment="1">
      <alignment horizontal="left"/>
    </xf>
    <xf numFmtId="0" fontId="6" fillId="9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0" fillId="0" borderId="0" xfId="0" applyNumberFormat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7" fontId="8" fillId="0" borderId="15" xfId="2" applyNumberFormat="1" applyFont="1" applyFill="1" applyBorder="1" applyAlignment="1">
      <alignment horizontal="center"/>
    </xf>
    <xf numFmtId="7" fontId="8" fillId="0" borderId="16" xfId="2" applyNumberFormat="1" applyFont="1" applyFill="1" applyBorder="1" applyAlignment="1">
      <alignment horizontal="center"/>
    </xf>
    <xf numFmtId="7" fontId="8" fillId="0" borderId="17" xfId="2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textRotation="90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16</xdr:row>
          <xdr:rowOff>83820</xdr:rowOff>
        </xdr:from>
        <xdr:to>
          <xdr:col>10</xdr:col>
          <xdr:colOff>251460</xdr:colOff>
          <xdr:row>18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22860</xdr:rowOff>
        </xdr:from>
        <xdr:to>
          <xdr:col>13</xdr:col>
          <xdr:colOff>601980</xdr:colOff>
          <xdr:row>4</xdr:row>
          <xdr:rowOff>121920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198120</xdr:colOff>
          <xdr:row>19</xdr:row>
          <xdr:rowOff>83820</xdr:rowOff>
        </xdr:from>
        <xdr:to>
          <xdr:col>12</xdr:col>
          <xdr:colOff>251460</xdr:colOff>
          <xdr:row>21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0</xdr:row>
          <xdr:rowOff>22860</xdr:rowOff>
        </xdr:from>
        <xdr:to>
          <xdr:col>15</xdr:col>
          <xdr:colOff>601980</xdr:colOff>
          <xdr:row>5</xdr:row>
          <xdr:rowOff>83820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495300</xdr:colOff>
          <xdr:row>0</xdr:row>
          <xdr:rowOff>0</xdr:rowOff>
        </xdr:from>
        <xdr:to>
          <xdr:col>24</xdr:col>
          <xdr:colOff>0</xdr:colOff>
          <xdr:row>3</xdr:row>
          <xdr:rowOff>152400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312420</xdr:colOff>
          <xdr:row>0</xdr:row>
          <xdr:rowOff>152400</xdr:rowOff>
        </xdr:from>
        <xdr:to>
          <xdr:col>25</xdr:col>
          <xdr:colOff>266700</xdr:colOff>
          <xdr:row>4</xdr:row>
          <xdr:rowOff>45720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N24"/>
  <sheetViews>
    <sheetView showGridLines="0" tabSelected="1" workbookViewId="0">
      <selection activeCell="Q7" sqref="Q7"/>
    </sheetView>
  </sheetViews>
  <sheetFormatPr defaultRowHeight="13.2" x14ac:dyDescent="0.25"/>
  <cols>
    <col min="2" max="2" width="39.88671875" bestFit="1" customWidth="1"/>
    <col min="3" max="3" width="1.6640625" customWidth="1"/>
    <col min="4" max="4" width="17.6640625" customWidth="1"/>
    <col min="5" max="5" width="3.33203125" customWidth="1"/>
    <col min="6" max="6" width="7.6640625" bestFit="1" customWidth="1"/>
  </cols>
  <sheetData>
    <row r="1" spans="2:8" ht="24.6" x14ac:dyDescent="0.4">
      <c r="B1" s="18" t="s">
        <v>4</v>
      </c>
      <c r="C1" s="18"/>
    </row>
    <row r="2" spans="2:8" ht="25.2" thickBot="1" x14ac:dyDescent="0.45">
      <c r="B2" s="18"/>
      <c r="C2" s="18"/>
    </row>
    <row r="3" spans="2:8" ht="13.8" thickBot="1" x14ac:dyDescent="0.3">
      <c r="B3" s="2" t="s">
        <v>22</v>
      </c>
      <c r="D3" s="23" t="s">
        <v>24</v>
      </c>
    </row>
    <row r="4" spans="2:8" ht="3.9" customHeight="1" thickBot="1" x14ac:dyDescent="0.3">
      <c r="B4" s="10"/>
      <c r="C4" s="10"/>
      <c r="D4" s="1"/>
    </row>
    <row r="5" spans="2:8" ht="13.8" thickBot="1" x14ac:dyDescent="0.3">
      <c r="B5" s="22" t="s">
        <v>23</v>
      </c>
      <c r="C5" s="8"/>
      <c r="D5" s="43" t="s">
        <v>60</v>
      </c>
    </row>
    <row r="6" spans="2:8" ht="3.9" customHeight="1" thickBot="1" x14ac:dyDescent="0.3">
      <c r="B6" s="10"/>
      <c r="C6" s="10"/>
      <c r="D6" s="1"/>
    </row>
    <row r="7" spans="2:8" ht="12.75" customHeight="1" thickBot="1" x14ac:dyDescent="0.3">
      <c r="B7" s="10" t="s">
        <v>7</v>
      </c>
      <c r="C7" s="10"/>
      <c r="D7" s="15">
        <v>125</v>
      </c>
      <c r="F7" s="123" t="s">
        <v>2</v>
      </c>
      <c r="G7" s="124"/>
      <c r="H7" s="125"/>
    </row>
    <row r="8" spans="2:8" ht="3.9" customHeight="1" thickBot="1" x14ac:dyDescent="0.3">
      <c r="B8" s="10"/>
      <c r="C8" s="10"/>
      <c r="D8" s="1"/>
      <c r="F8" s="126"/>
      <c r="G8" s="127"/>
      <c r="H8" s="128"/>
    </row>
    <row r="9" spans="2:8" ht="13.8" thickBot="1" x14ac:dyDescent="0.3">
      <c r="B9" s="10" t="s">
        <v>8</v>
      </c>
      <c r="C9" s="10"/>
      <c r="D9" s="15">
        <v>75</v>
      </c>
      <c r="F9" s="126"/>
      <c r="G9" s="127"/>
      <c r="H9" s="128"/>
    </row>
    <row r="10" spans="2:8" ht="3.9" customHeight="1" thickBot="1" x14ac:dyDescent="0.3">
      <c r="B10" s="10"/>
      <c r="C10" s="10"/>
      <c r="D10" s="1"/>
      <c r="F10" s="126"/>
      <c r="G10" s="127"/>
      <c r="H10" s="128"/>
    </row>
    <row r="11" spans="2:8" ht="13.8" thickBot="1" x14ac:dyDescent="0.3">
      <c r="B11" s="13" t="s">
        <v>9</v>
      </c>
      <c r="C11" s="13"/>
      <c r="D11" s="16">
        <v>5</v>
      </c>
      <c r="F11" s="126"/>
      <c r="G11" s="127"/>
      <c r="H11" s="128"/>
    </row>
    <row r="12" spans="2:8" ht="3.9" customHeight="1" thickBot="1" x14ac:dyDescent="0.3">
      <c r="B12" s="13"/>
      <c r="C12" s="13"/>
      <c r="D12" s="5"/>
      <c r="F12" s="126"/>
      <c r="G12" s="127"/>
      <c r="H12" s="128"/>
    </row>
    <row r="13" spans="2:8" ht="13.8" thickBot="1" x14ac:dyDescent="0.3">
      <c r="B13" s="13" t="s">
        <v>10</v>
      </c>
      <c r="C13" s="13"/>
      <c r="D13" s="16">
        <v>5</v>
      </c>
      <c r="F13" s="129"/>
      <c r="G13" s="130"/>
      <c r="H13" s="131"/>
    </row>
    <row r="14" spans="2:8" ht="13.8" thickBot="1" x14ac:dyDescent="0.3">
      <c r="B14" s="2"/>
      <c r="C14" s="2"/>
      <c r="D14" s="1"/>
      <c r="F14" s="9"/>
      <c r="G14" s="9"/>
      <c r="H14" s="9"/>
    </row>
    <row r="15" spans="2:8" ht="13.8" thickBot="1" x14ac:dyDescent="0.3">
      <c r="B15" s="13" t="s">
        <v>11</v>
      </c>
      <c r="C15" s="13"/>
      <c r="D15" s="17">
        <v>0.06</v>
      </c>
      <c r="E15" s="3"/>
      <c r="F15" s="12" t="s">
        <v>12</v>
      </c>
    </row>
    <row r="16" spans="2:8" x14ac:dyDescent="0.25">
      <c r="B16" s="4"/>
      <c r="C16" s="4"/>
      <c r="D16" s="6"/>
      <c r="E16" s="3"/>
    </row>
    <row r="18" spans="2:14" ht="25.5" customHeight="1" x14ac:dyDescent="0.25">
      <c r="B18" s="19" t="s">
        <v>3</v>
      </c>
      <c r="C18" s="19"/>
      <c r="D18" s="24">
        <f>(     (((D7+14.69)/14.69)^0.286)-1   ) * 0.2583*D9</f>
        <v>17.519713792225566</v>
      </c>
    </row>
    <row r="20" spans="2:14" ht="25.5" customHeight="1" x14ac:dyDescent="0.25">
      <c r="F20" s="122" t="s">
        <v>6</v>
      </c>
      <c r="G20" s="122"/>
      <c r="H20" s="122"/>
      <c r="I20" s="122"/>
      <c r="J20" s="122"/>
      <c r="K20" s="122"/>
      <c r="L20" s="122"/>
      <c r="M20" s="122"/>
      <c r="N20" s="122"/>
    </row>
    <row r="21" spans="2:14" ht="13.8" thickBot="1" x14ac:dyDescent="0.3">
      <c r="E21" s="3"/>
    </row>
    <row r="22" spans="2:14" ht="26.25" customHeight="1" thickBot="1" x14ac:dyDescent="0.3">
      <c r="B22" s="21" t="s">
        <v>5</v>
      </c>
      <c r="D22" s="20">
        <f>(D18*0.746*(D11*D13*52)*D15*1)/92.5%</f>
        <v>1102.0941688021851</v>
      </c>
      <c r="E22" s="3"/>
      <c r="F22" s="132" t="s">
        <v>58</v>
      </c>
      <c r="G22" s="132"/>
      <c r="H22" s="132"/>
      <c r="I22" s="132"/>
      <c r="J22" s="132"/>
      <c r="K22" s="132"/>
      <c r="L22" s="132"/>
      <c r="M22" s="132"/>
      <c r="N22" s="132"/>
    </row>
    <row r="23" spans="2:14" ht="54" customHeight="1" x14ac:dyDescent="0.25">
      <c r="B23" s="4"/>
      <c r="C23" s="4"/>
      <c r="D23" s="5"/>
      <c r="E23" s="3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2:14" x14ac:dyDescent="0.25">
      <c r="B24" s="7"/>
      <c r="C24" s="7"/>
      <c r="D24" s="7"/>
      <c r="E24" s="7"/>
      <c r="F24" s="11"/>
      <c r="G24" s="11"/>
      <c r="H24" s="11"/>
      <c r="I24" s="11"/>
      <c r="J24" s="11"/>
      <c r="K24" s="11"/>
      <c r="L24" s="11"/>
      <c r="M24" s="11"/>
      <c r="N24" s="11"/>
    </row>
  </sheetData>
  <mergeCells count="3">
    <mergeCell ref="F20:N20"/>
    <mergeCell ref="F7:H13"/>
    <mergeCell ref="F22:N23"/>
  </mergeCells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4</xdr:col>
                <xdr:colOff>198120</xdr:colOff>
                <xdr:row>16</xdr:row>
                <xdr:rowOff>83820</xdr:rowOff>
              </from>
              <to>
                <xdr:col>10</xdr:col>
                <xdr:colOff>251460</xdr:colOff>
                <xdr:row>18</xdr:row>
                <xdr:rowOff>152400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AcroExch.Document.7" shapeId="4100" r:id="rId6">
          <objectPr defaultSize="0" autoPict="0" r:id="rId7">
            <anchor moveWithCells="1">
              <from>
                <xdr:col>9</xdr:col>
                <xdr:colOff>38100</xdr:colOff>
                <xdr:row>0</xdr:row>
                <xdr:rowOff>22860</xdr:rowOff>
              </from>
              <to>
                <xdr:col>13</xdr:col>
                <xdr:colOff>601980</xdr:colOff>
                <xdr:row>4</xdr:row>
                <xdr:rowOff>121920</xdr:rowOff>
              </to>
            </anchor>
          </objectPr>
        </oleObject>
      </mc:Choice>
      <mc:Fallback>
        <oleObject progId="AcroExch.Document.7" shapeId="410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P31"/>
  <sheetViews>
    <sheetView showGridLines="0" topLeftCell="B1" workbookViewId="0">
      <selection activeCell="J37" sqref="J37"/>
    </sheetView>
  </sheetViews>
  <sheetFormatPr defaultRowHeight="13.2" x14ac:dyDescent="0.25"/>
  <cols>
    <col min="2" max="2" width="43.44140625" bestFit="1" customWidth="1"/>
    <col min="3" max="3" width="1.6640625" customWidth="1"/>
    <col min="4" max="4" width="22.109375" customWidth="1"/>
    <col min="5" max="5" width="1.6640625" customWidth="1"/>
    <col min="6" max="6" width="21.5546875" bestFit="1" customWidth="1"/>
    <col min="7" max="7" width="3.33203125" customWidth="1"/>
    <col min="8" max="8" width="7.6640625" bestFit="1" customWidth="1"/>
  </cols>
  <sheetData>
    <row r="1" spans="2:12" ht="24.6" x14ac:dyDescent="0.4">
      <c r="B1" s="133" t="s">
        <v>20</v>
      </c>
      <c r="C1" s="133"/>
      <c r="D1" s="133"/>
      <c r="E1" s="133"/>
      <c r="F1" s="133"/>
    </row>
    <row r="2" spans="2:12" x14ac:dyDescent="0.25">
      <c r="B2" s="135"/>
      <c r="C2" s="135"/>
      <c r="D2" s="135"/>
      <c r="E2" s="8"/>
      <c r="F2" s="8"/>
    </row>
    <row r="3" spans="2:12" ht="14.4" thickBot="1" x14ac:dyDescent="0.3">
      <c r="B3" s="45"/>
      <c r="C3" s="45"/>
      <c r="D3" s="46" t="s">
        <v>13</v>
      </c>
      <c r="E3" s="46"/>
      <c r="F3" s="46" t="s">
        <v>14</v>
      </c>
    </row>
    <row r="4" spans="2:12" ht="14.4" thickBot="1" x14ac:dyDescent="0.3">
      <c r="B4" s="47" t="s">
        <v>22</v>
      </c>
      <c r="C4" s="45"/>
      <c r="D4" s="48" t="s">
        <v>71</v>
      </c>
      <c r="E4" s="49"/>
      <c r="F4" s="48" t="s">
        <v>24</v>
      </c>
    </row>
    <row r="5" spans="2:12" ht="3.9" customHeight="1" thickBot="1" x14ac:dyDescent="0.3">
      <c r="B5" s="47"/>
      <c r="C5" s="47"/>
      <c r="D5" s="50"/>
      <c r="E5" s="50"/>
      <c r="F5" s="50"/>
    </row>
    <row r="6" spans="2:12" ht="14.4" thickBot="1" x14ac:dyDescent="0.3">
      <c r="B6" s="47" t="s">
        <v>23</v>
      </c>
      <c r="C6" s="45"/>
      <c r="D6" s="48" t="s">
        <v>70</v>
      </c>
      <c r="E6" s="49"/>
      <c r="F6" s="48" t="s">
        <v>69</v>
      </c>
    </row>
    <row r="7" spans="2:12" ht="3.9" customHeight="1" x14ac:dyDescent="0.25">
      <c r="B7" s="47"/>
      <c r="C7" s="47"/>
      <c r="D7" s="50"/>
      <c r="E7" s="50"/>
      <c r="F7" s="50"/>
    </row>
    <row r="8" spans="2:12" ht="14.4" hidden="1" thickBot="1" x14ac:dyDescent="0.3">
      <c r="B8" s="47" t="s">
        <v>15</v>
      </c>
      <c r="C8" s="47"/>
      <c r="D8" s="51">
        <v>0</v>
      </c>
      <c r="E8" s="52"/>
      <c r="F8" s="51">
        <v>0</v>
      </c>
    </row>
    <row r="9" spans="2:12" ht="3.9" customHeight="1" thickBot="1" x14ac:dyDescent="0.3">
      <c r="B9" s="47"/>
      <c r="C9" s="47"/>
      <c r="D9" s="50"/>
      <c r="E9" s="50"/>
      <c r="F9" s="50"/>
    </row>
    <row r="10" spans="2:12" ht="12.75" customHeight="1" thickBot="1" x14ac:dyDescent="0.3">
      <c r="B10" s="47" t="s">
        <v>7</v>
      </c>
      <c r="C10" s="47"/>
      <c r="D10" s="136">
        <v>100</v>
      </c>
      <c r="E10" s="137"/>
      <c r="F10" s="138"/>
      <c r="H10" s="123" t="s">
        <v>2</v>
      </c>
      <c r="I10" s="124"/>
      <c r="J10" s="125"/>
    </row>
    <row r="11" spans="2:12" ht="3.9" customHeight="1" thickBot="1" x14ac:dyDescent="0.3">
      <c r="B11" s="47"/>
      <c r="C11" s="47"/>
      <c r="D11" s="50"/>
      <c r="E11" s="50"/>
      <c r="F11" s="50"/>
      <c r="H11" s="126"/>
      <c r="I11" s="127"/>
      <c r="J11" s="128"/>
    </row>
    <row r="12" spans="2:12" ht="14.4" thickBot="1" x14ac:dyDescent="0.3">
      <c r="B12" s="47" t="s">
        <v>8</v>
      </c>
      <c r="C12" s="47"/>
      <c r="D12" s="48">
        <v>110</v>
      </c>
      <c r="E12" s="50"/>
      <c r="F12" s="48">
        <v>66</v>
      </c>
      <c r="H12" s="126"/>
      <c r="I12" s="127"/>
      <c r="J12" s="128"/>
    </row>
    <row r="13" spans="2:12" ht="3.9" customHeight="1" thickBot="1" x14ac:dyDescent="0.3">
      <c r="B13" s="47"/>
      <c r="C13" s="47"/>
      <c r="D13" s="50"/>
      <c r="E13" s="50"/>
      <c r="F13" s="50"/>
      <c r="H13" s="126"/>
      <c r="I13" s="127"/>
      <c r="J13" s="128"/>
    </row>
    <row r="14" spans="2:12" ht="14.4" thickBot="1" x14ac:dyDescent="0.3">
      <c r="B14" s="53" t="s">
        <v>9</v>
      </c>
      <c r="C14" s="53"/>
      <c r="D14" s="139">
        <v>4</v>
      </c>
      <c r="E14" s="140"/>
      <c r="F14" s="141"/>
      <c r="H14" s="126"/>
      <c r="I14" s="127"/>
      <c r="J14" s="128"/>
      <c r="L14">
        <f>94/155</f>
        <v>0.6064516129032258</v>
      </c>
    </row>
    <row r="15" spans="2:12" ht="3.9" customHeight="1" thickBot="1" x14ac:dyDescent="0.3">
      <c r="B15" s="53"/>
      <c r="C15" s="53"/>
      <c r="D15" s="50"/>
      <c r="E15" s="50"/>
      <c r="F15" s="50"/>
      <c r="H15" s="126"/>
      <c r="I15" s="127"/>
      <c r="J15" s="128"/>
    </row>
    <row r="16" spans="2:12" ht="14.4" thickBot="1" x14ac:dyDescent="0.3">
      <c r="B16" s="53" t="s">
        <v>10</v>
      </c>
      <c r="C16" s="53"/>
      <c r="D16" s="139">
        <v>5</v>
      </c>
      <c r="E16" s="140"/>
      <c r="F16" s="141"/>
      <c r="H16" s="129"/>
      <c r="I16" s="130"/>
      <c r="J16" s="131"/>
    </row>
    <row r="17" spans="2:16" ht="14.4" thickBot="1" x14ac:dyDescent="0.3">
      <c r="B17" s="47"/>
      <c r="C17" s="47"/>
      <c r="D17" s="50"/>
      <c r="E17" s="50"/>
      <c r="F17" s="50"/>
      <c r="H17" s="9"/>
      <c r="I17" s="9"/>
      <c r="J17" s="9"/>
    </row>
    <row r="18" spans="2:16" ht="14.4" thickBot="1" x14ac:dyDescent="0.3">
      <c r="B18" s="53" t="s">
        <v>11</v>
      </c>
      <c r="C18" s="53"/>
      <c r="D18" s="142">
        <v>0.1</v>
      </c>
      <c r="E18" s="143"/>
      <c r="F18" s="144"/>
      <c r="G18" s="3"/>
      <c r="H18" s="12" t="s">
        <v>12</v>
      </c>
    </row>
    <row r="19" spans="2:16" ht="13.8" x14ac:dyDescent="0.25">
      <c r="B19" s="53"/>
      <c r="C19" s="53"/>
      <c r="D19" s="54"/>
      <c r="E19" s="54"/>
      <c r="F19" s="54"/>
      <c r="G19" s="3"/>
    </row>
    <row r="20" spans="2:16" ht="13.8" x14ac:dyDescent="0.25">
      <c r="B20" s="45"/>
      <c r="C20" s="45"/>
      <c r="D20" s="45"/>
      <c r="E20" s="45"/>
      <c r="F20" s="45"/>
    </row>
    <row r="21" spans="2:16" ht="25.5" customHeight="1" x14ac:dyDescent="0.25">
      <c r="B21" s="55" t="s">
        <v>3</v>
      </c>
      <c r="C21" s="55"/>
      <c r="D21" s="56">
        <f>(     (((D10+14.69)/14.69)^0.286)-1   ) * 0.2583*$D$12</f>
        <v>22.728465133893039</v>
      </c>
      <c r="E21" s="56"/>
      <c r="F21" s="56">
        <f>(     (((D10+14.69)/14.69)^0.286)-1   ) * 0.2583*$F$12</f>
        <v>13.637079080335823</v>
      </c>
    </row>
    <row r="22" spans="2:16" ht="13.8" x14ac:dyDescent="0.25">
      <c r="B22" s="45"/>
      <c r="C22" s="45"/>
      <c r="D22" s="45"/>
      <c r="E22" s="45"/>
      <c r="F22" s="45"/>
    </row>
    <row r="23" spans="2:16" ht="25.5" customHeight="1" x14ac:dyDescent="0.25">
      <c r="B23" s="45"/>
      <c r="C23" s="45"/>
      <c r="D23" s="45"/>
      <c r="E23" s="45"/>
      <c r="F23" s="45"/>
      <c r="H23" s="122" t="s">
        <v>6</v>
      </c>
      <c r="I23" s="122"/>
      <c r="J23" s="122"/>
      <c r="K23" s="122"/>
      <c r="L23" s="122"/>
      <c r="M23" s="122"/>
      <c r="N23" s="122"/>
      <c r="O23" s="122"/>
      <c r="P23" s="122"/>
    </row>
    <row r="24" spans="2:16" ht="14.4" thickBot="1" x14ac:dyDescent="0.3">
      <c r="B24" s="45"/>
      <c r="C24" s="45"/>
      <c r="D24" s="45"/>
      <c r="E24" s="45"/>
      <c r="F24" s="45"/>
      <c r="G24" s="3"/>
    </row>
    <row r="25" spans="2:16" ht="26.25" customHeight="1" thickBot="1" x14ac:dyDescent="0.3">
      <c r="B25" s="57" t="s">
        <v>17</v>
      </c>
      <c r="C25" s="45"/>
      <c r="D25" s="58">
        <f>(D21*0.746*(D14*D16*52)*D18*1)/92.5%</f>
        <v>1906.3407988626568</v>
      </c>
      <c r="E25" s="59"/>
      <c r="F25" s="58">
        <f>(F21*0.746*(D14*D16*52)*D18*1)/92.5%</f>
        <v>1143.8044793175941</v>
      </c>
      <c r="G25" s="3"/>
      <c r="H25" s="134" t="s">
        <v>58</v>
      </c>
      <c r="I25" s="134"/>
      <c r="J25" s="134"/>
      <c r="K25" s="134"/>
      <c r="L25" s="134"/>
      <c r="M25" s="134"/>
      <c r="N25" s="134"/>
      <c r="O25" s="134"/>
      <c r="P25" s="134"/>
    </row>
    <row r="26" spans="2:16" ht="14.4" thickBot="1" x14ac:dyDescent="0.3">
      <c r="B26" s="53"/>
      <c r="C26" s="45"/>
      <c r="D26" s="60"/>
      <c r="E26" s="60"/>
      <c r="F26" s="60"/>
      <c r="G26" s="3"/>
      <c r="H26" s="134"/>
      <c r="I26" s="134"/>
      <c r="J26" s="134"/>
      <c r="K26" s="134"/>
      <c r="L26" s="134"/>
      <c r="M26" s="134"/>
      <c r="N26" s="134"/>
      <c r="O26" s="134"/>
      <c r="P26" s="134"/>
    </row>
    <row r="27" spans="2:16" ht="14.4" thickBot="1" x14ac:dyDescent="0.3">
      <c r="B27" s="61" t="s">
        <v>61</v>
      </c>
      <c r="C27" s="45"/>
      <c r="D27" s="62">
        <f>D25-F25</f>
        <v>762.53631954506272</v>
      </c>
      <c r="E27" s="45"/>
      <c r="F27" s="63"/>
      <c r="G27" s="7"/>
      <c r="H27" s="134"/>
      <c r="I27" s="134"/>
      <c r="J27" s="134"/>
      <c r="K27" s="134"/>
      <c r="L27" s="134"/>
      <c r="M27" s="134"/>
      <c r="N27" s="134"/>
      <c r="O27" s="134"/>
      <c r="P27" s="134"/>
    </row>
    <row r="28" spans="2:16" ht="14.4" thickBot="1" x14ac:dyDescent="0.3">
      <c r="B28" s="45"/>
      <c r="C28" s="45"/>
      <c r="D28" s="45"/>
      <c r="E28" s="45"/>
      <c r="F28" s="45"/>
    </row>
    <row r="29" spans="2:16" ht="14.4" thickBot="1" x14ac:dyDescent="0.3">
      <c r="B29" s="61" t="s">
        <v>18</v>
      </c>
      <c r="C29" s="45"/>
      <c r="D29" s="64">
        <f>(F8-D8)/D27</f>
        <v>0</v>
      </c>
      <c r="E29" s="45"/>
      <c r="F29" s="45"/>
      <c r="H29" s="12" t="s">
        <v>19</v>
      </c>
    </row>
    <row r="31" spans="2:16" x14ac:dyDescent="0.25">
      <c r="D31" s="115">
        <f>D25*3</f>
        <v>5719.0223965879704</v>
      </c>
      <c r="F31" s="115">
        <f>D27*3</f>
        <v>2287.6089586351882</v>
      </c>
    </row>
  </sheetData>
  <mergeCells count="9">
    <mergeCell ref="B1:F1"/>
    <mergeCell ref="H25:P27"/>
    <mergeCell ref="B2:D2"/>
    <mergeCell ref="H10:J16"/>
    <mergeCell ref="H23:P23"/>
    <mergeCell ref="D10:F10"/>
    <mergeCell ref="D14:F14"/>
    <mergeCell ref="D16:F16"/>
    <mergeCell ref="D18:F1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6</xdr:col>
                <xdr:colOff>198120</xdr:colOff>
                <xdr:row>19</xdr:row>
                <xdr:rowOff>83820</xdr:rowOff>
              </from>
              <to>
                <xdr:col>12</xdr:col>
                <xdr:colOff>251460</xdr:colOff>
                <xdr:row>21</xdr:row>
                <xdr:rowOff>152400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AcroExch.Document.7" shapeId="5122" r:id="rId6">
          <objectPr defaultSize="0" autoPict="0" r:id="rId7">
            <anchor moveWithCells="1">
              <from>
                <xdr:col>11</xdr:col>
                <xdr:colOff>38100</xdr:colOff>
                <xdr:row>0</xdr:row>
                <xdr:rowOff>22860</xdr:rowOff>
              </from>
              <to>
                <xdr:col>15</xdr:col>
                <xdr:colOff>601980</xdr:colOff>
                <xdr:row>5</xdr:row>
                <xdr:rowOff>83820</xdr:rowOff>
              </to>
            </anchor>
          </objectPr>
        </oleObject>
      </mc:Choice>
      <mc:Fallback>
        <oleObject progId="AcroExch.Document.7" shapeId="512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X26"/>
  <sheetViews>
    <sheetView showGridLines="0" workbookViewId="0">
      <selection activeCell="M17" sqref="M17"/>
    </sheetView>
  </sheetViews>
  <sheetFormatPr defaultRowHeight="13.2" x14ac:dyDescent="0.25"/>
  <cols>
    <col min="2" max="4" width="14.33203125" customWidth="1"/>
    <col min="5" max="5" width="12.44140625" customWidth="1"/>
    <col min="6" max="6" width="17.5546875" customWidth="1"/>
    <col min="7" max="8" width="12.33203125" customWidth="1"/>
    <col min="9" max="9" width="5.44140625" bestFit="1" customWidth="1"/>
    <col min="10" max="10" width="12" bestFit="1" customWidth="1"/>
    <col min="11" max="11" width="13.88671875" customWidth="1"/>
    <col min="12" max="12" width="12.88671875" customWidth="1"/>
    <col min="13" max="13" width="15.5546875" customWidth="1"/>
    <col min="14" max="14" width="12.109375" customWidth="1"/>
    <col min="15" max="15" width="17" bestFit="1" customWidth="1"/>
    <col min="16" max="16" width="10.109375" bestFit="1" customWidth="1"/>
    <col min="17" max="19" width="10.109375" customWidth="1"/>
    <col min="20" max="20" width="14.109375" customWidth="1"/>
    <col min="21" max="21" width="11.88671875" bestFit="1" customWidth="1"/>
    <col min="22" max="22" width="15" bestFit="1" customWidth="1"/>
    <col min="23" max="23" width="18.109375" customWidth="1"/>
    <col min="24" max="24" width="11.88671875" customWidth="1"/>
  </cols>
  <sheetData>
    <row r="1" spans="2:24" ht="25.2" thickBot="1" x14ac:dyDescent="0.45">
      <c r="B1" s="18" t="s">
        <v>21</v>
      </c>
      <c r="C1" s="18"/>
      <c r="D1" s="18"/>
      <c r="E1" s="18"/>
    </row>
    <row r="2" spans="2:24" ht="13.8" thickBot="1" x14ac:dyDescent="0.3">
      <c r="D2" s="10" t="s">
        <v>7</v>
      </c>
      <c r="E2" s="119">
        <v>125</v>
      </c>
      <c r="H2" s="71" t="s">
        <v>75</v>
      </c>
    </row>
    <row r="3" spans="2:24" ht="13.8" thickBot="1" x14ac:dyDescent="0.3">
      <c r="D3" s="13" t="s">
        <v>11</v>
      </c>
      <c r="E3" s="120">
        <v>0.06</v>
      </c>
    </row>
    <row r="4" spans="2:24" ht="13.8" thickBot="1" x14ac:dyDescent="0.3">
      <c r="B4" s="135"/>
      <c r="C4" s="135"/>
      <c r="D4" s="135"/>
      <c r="E4" s="135"/>
    </row>
    <row r="5" spans="2:24" ht="40.200000000000003" thickBot="1" x14ac:dyDescent="0.3">
      <c r="B5" s="30" t="s">
        <v>26</v>
      </c>
      <c r="C5" s="121" t="s">
        <v>0</v>
      </c>
      <c r="D5" s="121" t="s">
        <v>1</v>
      </c>
      <c r="E5" s="121" t="s">
        <v>25</v>
      </c>
      <c r="F5" s="121" t="s">
        <v>28</v>
      </c>
      <c r="G5" s="31" t="s">
        <v>31</v>
      </c>
      <c r="H5" s="121" t="s">
        <v>72</v>
      </c>
      <c r="I5" s="121" t="s">
        <v>73</v>
      </c>
      <c r="J5" s="121" t="s">
        <v>74</v>
      </c>
      <c r="K5" s="31" t="s">
        <v>32</v>
      </c>
      <c r="L5" s="32" t="s">
        <v>33</v>
      </c>
      <c r="M5" s="33" t="s">
        <v>34</v>
      </c>
      <c r="N5" s="121" t="s">
        <v>29</v>
      </c>
      <c r="O5" s="121" t="s">
        <v>30</v>
      </c>
      <c r="P5" s="31" t="s">
        <v>35</v>
      </c>
      <c r="Q5" s="121" t="s">
        <v>72</v>
      </c>
      <c r="R5" s="121" t="s">
        <v>73</v>
      </c>
      <c r="S5" s="121" t="s">
        <v>74</v>
      </c>
      <c r="T5" s="34" t="s">
        <v>36</v>
      </c>
      <c r="U5" s="32" t="s">
        <v>37</v>
      </c>
      <c r="V5" s="35" t="s">
        <v>38</v>
      </c>
      <c r="W5" s="39" t="s">
        <v>16</v>
      </c>
      <c r="X5" s="40" t="s">
        <v>18</v>
      </c>
    </row>
    <row r="6" spans="2:24" x14ac:dyDescent="0.25">
      <c r="B6" s="25" t="s">
        <v>27</v>
      </c>
      <c r="C6" s="116">
        <v>5</v>
      </c>
      <c r="D6" s="116">
        <v>5</v>
      </c>
      <c r="E6" s="117" t="s">
        <v>76</v>
      </c>
      <c r="F6" s="117" t="s">
        <v>81</v>
      </c>
      <c r="G6" s="118"/>
      <c r="H6" s="118"/>
      <c r="I6" s="118"/>
      <c r="J6" s="118"/>
      <c r="K6" s="117">
        <v>155</v>
      </c>
      <c r="L6" s="28">
        <f>(     ((($E$2+14.69)/14.69)^0.286)-1   ) * 0.2583*K6</f>
        <v>36.207408503932832</v>
      </c>
      <c r="M6" s="29">
        <f>(L6*0.746*(C6*D6*52)*$E$3*1)/92.5%</f>
        <v>2277.6612821911817</v>
      </c>
      <c r="N6" s="117" t="s">
        <v>24</v>
      </c>
      <c r="O6" s="117" t="s">
        <v>59</v>
      </c>
      <c r="P6" s="118"/>
      <c r="Q6" s="118"/>
      <c r="R6" s="118"/>
      <c r="S6" s="118"/>
      <c r="T6" s="117">
        <v>94</v>
      </c>
      <c r="U6" s="28">
        <f>(     ((($E$2+14.69)/14.69)^0.286)-1   ) * 0.2583*T6</f>
        <v>21.958041286256041</v>
      </c>
      <c r="V6" s="36">
        <f>(U6*0.746*(C6*D6*52)*$E$3*1)/92.5%</f>
        <v>1381.2913582320716</v>
      </c>
      <c r="W6" s="37">
        <f>M6-V6</f>
        <v>896.36992395911011</v>
      </c>
      <c r="X6" s="38">
        <f>(P6-G6)/W6</f>
        <v>0</v>
      </c>
    </row>
    <row r="7" spans="2:24" x14ac:dyDescent="0.25">
      <c r="B7" s="25" t="s">
        <v>39</v>
      </c>
      <c r="C7" s="116">
        <v>5</v>
      </c>
      <c r="D7" s="116">
        <v>5</v>
      </c>
      <c r="E7" s="117" t="s">
        <v>77</v>
      </c>
      <c r="F7" s="117" t="s">
        <v>82</v>
      </c>
      <c r="G7" s="118"/>
      <c r="H7" s="118"/>
      <c r="I7" s="118"/>
      <c r="J7" s="118"/>
      <c r="K7" s="117">
        <v>155</v>
      </c>
      <c r="L7" s="28">
        <f t="shared" ref="L7:L16" si="0">(     ((($E$2+14.69)/14.69)^0.286)-1   ) * 0.2583*K7</f>
        <v>36.207408503932832</v>
      </c>
      <c r="M7" s="29">
        <f>(L7*0.746*(C7*D7*52)*$E$3*1)/92.5%</f>
        <v>2277.6612821911817</v>
      </c>
      <c r="N7" s="117" t="s">
        <v>24</v>
      </c>
      <c r="O7" s="117" t="s">
        <v>59</v>
      </c>
      <c r="P7" s="118"/>
      <c r="Q7" s="118"/>
      <c r="R7" s="118"/>
      <c r="S7" s="118"/>
      <c r="T7" s="117">
        <v>94</v>
      </c>
      <c r="U7" s="28">
        <f t="shared" ref="U7:U16" si="1">(     ((($E$2+14.69)/14.69)^0.286)-1   ) * 0.2583*T7</f>
        <v>21.958041286256041</v>
      </c>
      <c r="V7" s="36">
        <f>(U7*0.746*(C7*D7*52)*$E$3*1)/92.5%</f>
        <v>1381.2913582320716</v>
      </c>
      <c r="W7" s="37">
        <f>M7-V7</f>
        <v>896.36992395911011</v>
      </c>
      <c r="X7" s="38">
        <f>(P7-G7)/W7</f>
        <v>0</v>
      </c>
    </row>
    <row r="8" spans="2:24" x14ac:dyDescent="0.25">
      <c r="B8" s="25" t="s">
        <v>40</v>
      </c>
      <c r="C8" s="116">
        <v>5</v>
      </c>
      <c r="D8" s="116">
        <v>5</v>
      </c>
      <c r="E8" s="117" t="s">
        <v>78</v>
      </c>
      <c r="F8" s="117" t="s">
        <v>83</v>
      </c>
      <c r="G8" s="118"/>
      <c r="H8" s="118"/>
      <c r="I8" s="118"/>
      <c r="J8" s="118"/>
      <c r="K8" s="117">
        <v>155</v>
      </c>
      <c r="L8" s="28">
        <f t="shared" ref="L8:L15" si="2">(     ((($E$2+14.69)/14.69)^0.286)-1   ) * 0.2583*K8</f>
        <v>36.207408503932832</v>
      </c>
      <c r="M8" s="29">
        <f t="shared" ref="M8:M15" si="3">(L8*0.746*(C8*D8*52)*$E$3*1)/92.5%</f>
        <v>2277.6612821911817</v>
      </c>
      <c r="N8" s="117" t="s">
        <v>24</v>
      </c>
      <c r="O8" s="117" t="s">
        <v>59</v>
      </c>
      <c r="P8" s="118"/>
      <c r="Q8" s="118"/>
      <c r="R8" s="118"/>
      <c r="S8" s="118"/>
      <c r="T8" s="117">
        <v>94</v>
      </c>
      <c r="U8" s="28">
        <f t="shared" ref="U8:U15" si="4">(     ((($E$2+14.69)/14.69)^0.286)-1   ) * 0.2583*T8</f>
        <v>21.958041286256041</v>
      </c>
      <c r="V8" s="36">
        <f t="shared" ref="V8:V15" si="5">(U8*0.746*(C8*D8*52)*$E$3*1)/92.5%</f>
        <v>1381.2913582320716</v>
      </c>
      <c r="W8" s="37">
        <f t="shared" ref="W8:W15" si="6">M8-V8</f>
        <v>896.36992395911011</v>
      </c>
      <c r="X8" s="38">
        <f t="shared" ref="X8:X15" si="7">(P8-G8)/W8</f>
        <v>0</v>
      </c>
    </row>
    <row r="9" spans="2:24" x14ac:dyDescent="0.25">
      <c r="B9" s="25" t="s">
        <v>41</v>
      </c>
      <c r="C9" s="116">
        <v>5</v>
      </c>
      <c r="D9" s="116">
        <v>5</v>
      </c>
      <c r="E9" s="117" t="s">
        <v>79</v>
      </c>
      <c r="F9" s="117" t="s">
        <v>84</v>
      </c>
      <c r="G9" s="118"/>
      <c r="H9" s="118"/>
      <c r="I9" s="118"/>
      <c r="J9" s="118"/>
      <c r="K9" s="117">
        <v>155</v>
      </c>
      <c r="L9" s="28">
        <f t="shared" si="2"/>
        <v>36.207408503932832</v>
      </c>
      <c r="M9" s="29">
        <f t="shared" si="3"/>
        <v>2277.6612821911817</v>
      </c>
      <c r="N9" s="117" t="s">
        <v>24</v>
      </c>
      <c r="O9" s="117" t="s">
        <v>59</v>
      </c>
      <c r="P9" s="118"/>
      <c r="Q9" s="118"/>
      <c r="R9" s="118"/>
      <c r="S9" s="118"/>
      <c r="T9" s="117">
        <v>94</v>
      </c>
      <c r="U9" s="28">
        <f t="shared" si="4"/>
        <v>21.958041286256041</v>
      </c>
      <c r="V9" s="36">
        <f t="shared" si="5"/>
        <v>1381.2913582320716</v>
      </c>
      <c r="W9" s="37">
        <f t="shared" si="6"/>
        <v>896.36992395911011</v>
      </c>
      <c r="X9" s="38">
        <f t="shared" si="7"/>
        <v>0</v>
      </c>
    </row>
    <row r="10" spans="2:24" x14ac:dyDescent="0.25">
      <c r="B10" s="25" t="s">
        <v>42</v>
      </c>
      <c r="C10" s="116">
        <v>5</v>
      </c>
      <c r="D10" s="116">
        <v>5</v>
      </c>
      <c r="E10" s="117" t="s">
        <v>80</v>
      </c>
      <c r="F10" s="117" t="s">
        <v>85</v>
      </c>
      <c r="G10" s="118"/>
      <c r="H10" s="118"/>
      <c r="I10" s="118"/>
      <c r="J10" s="118"/>
      <c r="K10" s="117">
        <v>155</v>
      </c>
      <c r="L10" s="28">
        <f t="shared" si="2"/>
        <v>36.207408503932832</v>
      </c>
      <c r="M10" s="29">
        <f t="shared" si="3"/>
        <v>2277.6612821911817</v>
      </c>
      <c r="N10" s="117" t="s">
        <v>24</v>
      </c>
      <c r="O10" s="117" t="s">
        <v>59</v>
      </c>
      <c r="P10" s="118"/>
      <c r="Q10" s="118"/>
      <c r="R10" s="118"/>
      <c r="S10" s="118"/>
      <c r="T10" s="117">
        <v>94</v>
      </c>
      <c r="U10" s="28">
        <f t="shared" si="4"/>
        <v>21.958041286256041</v>
      </c>
      <c r="V10" s="36">
        <f t="shared" si="5"/>
        <v>1381.2913582320716</v>
      </c>
      <c r="W10" s="37">
        <f t="shared" si="6"/>
        <v>896.36992395911011</v>
      </c>
      <c r="X10" s="38">
        <f t="shared" si="7"/>
        <v>0</v>
      </c>
    </row>
    <row r="11" spans="2:24" x14ac:dyDescent="0.25">
      <c r="B11" s="25" t="s">
        <v>43</v>
      </c>
      <c r="C11" s="27"/>
      <c r="D11" s="27"/>
      <c r="E11" s="25"/>
      <c r="F11" s="25"/>
      <c r="G11" s="26"/>
      <c r="H11" s="26"/>
      <c r="I11" s="26"/>
      <c r="J11" s="26"/>
      <c r="K11" s="14"/>
      <c r="L11" s="28">
        <f t="shared" si="2"/>
        <v>0</v>
      </c>
      <c r="M11" s="29">
        <f t="shared" si="3"/>
        <v>0</v>
      </c>
      <c r="N11" s="25"/>
      <c r="O11" s="25"/>
      <c r="P11" s="26"/>
      <c r="Q11" s="26"/>
      <c r="R11" s="26"/>
      <c r="S11" s="26"/>
      <c r="T11" s="14"/>
      <c r="U11" s="28">
        <f t="shared" si="4"/>
        <v>0</v>
      </c>
      <c r="V11" s="36">
        <f t="shared" si="5"/>
        <v>0</v>
      </c>
      <c r="W11" s="37">
        <f t="shared" si="6"/>
        <v>0</v>
      </c>
      <c r="X11" s="38" t="e">
        <f t="shared" si="7"/>
        <v>#DIV/0!</v>
      </c>
    </row>
    <row r="12" spans="2:24" x14ac:dyDescent="0.25">
      <c r="B12" s="25" t="s">
        <v>44</v>
      </c>
      <c r="C12" s="27"/>
      <c r="D12" s="27"/>
      <c r="E12" s="25"/>
      <c r="F12" s="25"/>
      <c r="G12" s="26"/>
      <c r="H12" s="26"/>
      <c r="I12" s="26"/>
      <c r="J12" s="26"/>
      <c r="K12" s="14"/>
      <c r="L12" s="28">
        <f t="shared" si="2"/>
        <v>0</v>
      </c>
      <c r="M12" s="29">
        <f t="shared" si="3"/>
        <v>0</v>
      </c>
      <c r="N12" s="25"/>
      <c r="O12" s="25"/>
      <c r="P12" s="26"/>
      <c r="Q12" s="26"/>
      <c r="R12" s="26"/>
      <c r="S12" s="26"/>
      <c r="T12" s="14"/>
      <c r="U12" s="28">
        <f t="shared" si="4"/>
        <v>0</v>
      </c>
      <c r="V12" s="36">
        <f t="shared" si="5"/>
        <v>0</v>
      </c>
      <c r="W12" s="37">
        <f t="shared" si="6"/>
        <v>0</v>
      </c>
      <c r="X12" s="38" t="e">
        <f t="shared" si="7"/>
        <v>#DIV/0!</v>
      </c>
    </row>
    <row r="13" spans="2:24" x14ac:dyDescent="0.25">
      <c r="B13" s="25" t="s">
        <v>45</v>
      </c>
      <c r="C13" s="27"/>
      <c r="D13" s="27"/>
      <c r="E13" s="25"/>
      <c r="F13" s="25"/>
      <c r="G13" s="26"/>
      <c r="H13" s="26"/>
      <c r="I13" s="26"/>
      <c r="J13" s="26"/>
      <c r="K13" s="14"/>
      <c r="L13" s="28">
        <f t="shared" si="2"/>
        <v>0</v>
      </c>
      <c r="M13" s="29">
        <f t="shared" si="3"/>
        <v>0</v>
      </c>
      <c r="N13" s="25"/>
      <c r="O13" s="25"/>
      <c r="P13" s="26"/>
      <c r="Q13" s="26"/>
      <c r="R13" s="26"/>
      <c r="S13" s="26"/>
      <c r="T13" s="14"/>
      <c r="U13" s="28">
        <f t="shared" si="4"/>
        <v>0</v>
      </c>
      <c r="V13" s="36">
        <f t="shared" si="5"/>
        <v>0</v>
      </c>
      <c r="W13" s="37">
        <f t="shared" si="6"/>
        <v>0</v>
      </c>
      <c r="X13" s="38" t="e">
        <f t="shared" si="7"/>
        <v>#DIV/0!</v>
      </c>
    </row>
    <row r="14" spans="2:24" x14ac:dyDescent="0.25">
      <c r="B14" s="25" t="s">
        <v>46</v>
      </c>
      <c r="C14" s="27"/>
      <c r="D14" s="27"/>
      <c r="E14" s="25"/>
      <c r="F14" s="25"/>
      <c r="G14" s="26"/>
      <c r="H14" s="26"/>
      <c r="I14" s="26"/>
      <c r="J14" s="26"/>
      <c r="K14" s="14"/>
      <c r="L14" s="28">
        <f t="shared" si="2"/>
        <v>0</v>
      </c>
      <c r="M14" s="29">
        <f t="shared" si="3"/>
        <v>0</v>
      </c>
      <c r="N14" s="25"/>
      <c r="O14" s="25"/>
      <c r="P14" s="26"/>
      <c r="Q14" s="26"/>
      <c r="R14" s="26"/>
      <c r="S14" s="26"/>
      <c r="T14" s="14"/>
      <c r="U14" s="28">
        <f t="shared" si="4"/>
        <v>0</v>
      </c>
      <c r="V14" s="36">
        <f t="shared" si="5"/>
        <v>0</v>
      </c>
      <c r="W14" s="37">
        <f t="shared" si="6"/>
        <v>0</v>
      </c>
      <c r="X14" s="38" t="e">
        <f t="shared" si="7"/>
        <v>#DIV/0!</v>
      </c>
    </row>
    <row r="15" spans="2:24" x14ac:dyDescent="0.25">
      <c r="B15" s="25" t="s">
        <v>47</v>
      </c>
      <c r="C15" s="27"/>
      <c r="D15" s="27"/>
      <c r="E15" s="25"/>
      <c r="F15" s="25"/>
      <c r="G15" s="26"/>
      <c r="H15" s="26"/>
      <c r="I15" s="26"/>
      <c r="J15" s="26"/>
      <c r="K15" s="14"/>
      <c r="L15" s="28">
        <f t="shared" si="2"/>
        <v>0</v>
      </c>
      <c r="M15" s="29">
        <f t="shared" si="3"/>
        <v>0</v>
      </c>
      <c r="N15" s="25"/>
      <c r="O15" s="25"/>
      <c r="P15" s="26"/>
      <c r="Q15" s="26"/>
      <c r="R15" s="26"/>
      <c r="S15" s="26"/>
      <c r="T15" s="14"/>
      <c r="U15" s="28">
        <f t="shared" si="4"/>
        <v>0</v>
      </c>
      <c r="V15" s="36">
        <f t="shared" si="5"/>
        <v>0</v>
      </c>
      <c r="W15" s="37">
        <f t="shared" si="6"/>
        <v>0</v>
      </c>
      <c r="X15" s="38" t="e">
        <f t="shared" si="7"/>
        <v>#DIV/0!</v>
      </c>
    </row>
    <row r="16" spans="2:24" x14ac:dyDescent="0.25">
      <c r="B16" s="25" t="s">
        <v>48</v>
      </c>
      <c r="C16" s="27"/>
      <c r="D16" s="27"/>
      <c r="E16" s="25"/>
      <c r="F16" s="25"/>
      <c r="G16" s="26"/>
      <c r="H16" s="26"/>
      <c r="I16" s="26"/>
      <c r="J16" s="26"/>
      <c r="K16" s="14"/>
      <c r="L16" s="28">
        <f t="shared" si="0"/>
        <v>0</v>
      </c>
      <c r="M16" s="29">
        <f t="shared" ref="M16" si="8">(L16*0.746*(C16*D16*52)*$E$3*1)/92.5%</f>
        <v>0</v>
      </c>
      <c r="N16" s="25"/>
      <c r="O16" s="25"/>
      <c r="P16" s="26"/>
      <c r="Q16" s="26"/>
      <c r="R16" s="26"/>
      <c r="S16" s="26"/>
      <c r="T16" s="14"/>
      <c r="U16" s="28">
        <f t="shared" si="1"/>
        <v>0</v>
      </c>
      <c r="V16" s="36">
        <f t="shared" ref="V16" si="9">(U16*0.746*(C16*D16*52)*$E$3*1)/92.5%</f>
        <v>0</v>
      </c>
      <c r="W16" s="37">
        <f t="shared" ref="W16" si="10">M16-V16</f>
        <v>0</v>
      </c>
      <c r="X16" s="38" t="e">
        <f t="shared" ref="X16" si="11">(P16-G16)/W16</f>
        <v>#DIV/0!</v>
      </c>
    </row>
    <row r="17" spans="2:24" x14ac:dyDescent="0.25">
      <c r="B17" s="25" t="s">
        <v>49</v>
      </c>
      <c r="C17" s="27"/>
      <c r="D17" s="27"/>
      <c r="E17" s="25"/>
      <c r="F17" s="25"/>
      <c r="G17" s="26"/>
      <c r="H17" s="26"/>
      <c r="I17" s="26"/>
      <c r="J17" s="26"/>
      <c r="K17" s="14"/>
      <c r="L17" s="28">
        <f t="shared" ref="L17:L25" si="12">(     ((($E$2+14.69)/14.69)^0.286)-1   ) * 0.2583*K17</f>
        <v>0</v>
      </c>
      <c r="M17" s="29">
        <f t="shared" ref="M17:M25" si="13">(L17*0.746*(C17*D17*52)*$E$3*1)/92.5%</f>
        <v>0</v>
      </c>
      <c r="N17" s="25"/>
      <c r="O17" s="25"/>
      <c r="P17" s="26"/>
      <c r="Q17" s="26"/>
      <c r="R17" s="26"/>
      <c r="S17" s="26"/>
      <c r="T17" s="14"/>
      <c r="U17" s="28">
        <f t="shared" ref="U17:U25" si="14">(     ((($E$2+14.69)/14.69)^0.286)-1   ) * 0.2583*T17</f>
        <v>0</v>
      </c>
      <c r="V17" s="36">
        <f t="shared" ref="V17:V25" si="15">(U17*0.746*(C17*D17*52)*$E$3*1)/92.5%</f>
        <v>0</v>
      </c>
      <c r="W17" s="37">
        <f t="shared" ref="W17:W25" si="16">M17-V17</f>
        <v>0</v>
      </c>
      <c r="X17" s="38" t="e">
        <f t="shared" ref="X17:X25" si="17">(P17-G17)/W17</f>
        <v>#DIV/0!</v>
      </c>
    </row>
    <row r="18" spans="2:24" x14ac:dyDescent="0.25">
      <c r="B18" s="25" t="s">
        <v>50</v>
      </c>
      <c r="C18" s="27"/>
      <c r="D18" s="27"/>
      <c r="E18" s="25"/>
      <c r="F18" s="25"/>
      <c r="G18" s="26"/>
      <c r="H18" s="26"/>
      <c r="I18" s="26"/>
      <c r="J18" s="26"/>
      <c r="K18" s="14"/>
      <c r="L18" s="28">
        <f t="shared" si="12"/>
        <v>0</v>
      </c>
      <c r="M18" s="29">
        <f t="shared" si="13"/>
        <v>0</v>
      </c>
      <c r="N18" s="25"/>
      <c r="O18" s="25"/>
      <c r="P18" s="26"/>
      <c r="Q18" s="26"/>
      <c r="R18" s="26"/>
      <c r="S18" s="26"/>
      <c r="T18" s="14"/>
      <c r="U18" s="28">
        <f t="shared" si="14"/>
        <v>0</v>
      </c>
      <c r="V18" s="36">
        <f t="shared" si="15"/>
        <v>0</v>
      </c>
      <c r="W18" s="37">
        <f t="shared" si="16"/>
        <v>0</v>
      </c>
      <c r="X18" s="38" t="e">
        <f t="shared" si="17"/>
        <v>#DIV/0!</v>
      </c>
    </row>
    <row r="19" spans="2:24" x14ac:dyDescent="0.25">
      <c r="B19" s="25" t="s">
        <v>51</v>
      </c>
      <c r="C19" s="27"/>
      <c r="D19" s="27"/>
      <c r="E19" s="25"/>
      <c r="F19" s="25"/>
      <c r="G19" s="26"/>
      <c r="H19" s="26"/>
      <c r="I19" s="26"/>
      <c r="J19" s="26"/>
      <c r="K19" s="14"/>
      <c r="L19" s="28">
        <f t="shared" si="12"/>
        <v>0</v>
      </c>
      <c r="M19" s="29">
        <f t="shared" si="13"/>
        <v>0</v>
      </c>
      <c r="N19" s="25"/>
      <c r="O19" s="25"/>
      <c r="P19" s="26"/>
      <c r="Q19" s="26"/>
      <c r="R19" s="26"/>
      <c r="S19" s="26"/>
      <c r="T19" s="14"/>
      <c r="U19" s="28">
        <f t="shared" si="14"/>
        <v>0</v>
      </c>
      <c r="V19" s="36">
        <f t="shared" si="15"/>
        <v>0</v>
      </c>
      <c r="W19" s="37">
        <f t="shared" si="16"/>
        <v>0</v>
      </c>
      <c r="X19" s="38" t="e">
        <f t="shared" si="17"/>
        <v>#DIV/0!</v>
      </c>
    </row>
    <row r="20" spans="2:24" x14ac:dyDescent="0.25">
      <c r="B20" s="25" t="s">
        <v>52</v>
      </c>
      <c r="C20" s="27"/>
      <c r="D20" s="27"/>
      <c r="E20" s="25"/>
      <c r="F20" s="25"/>
      <c r="G20" s="26"/>
      <c r="H20" s="26"/>
      <c r="I20" s="26"/>
      <c r="J20" s="26"/>
      <c r="K20" s="14"/>
      <c r="L20" s="28">
        <f t="shared" si="12"/>
        <v>0</v>
      </c>
      <c r="M20" s="29">
        <f t="shared" si="13"/>
        <v>0</v>
      </c>
      <c r="N20" s="25"/>
      <c r="O20" s="25"/>
      <c r="P20" s="26"/>
      <c r="Q20" s="26"/>
      <c r="R20" s="26"/>
      <c r="S20" s="26"/>
      <c r="T20" s="14"/>
      <c r="U20" s="28">
        <f t="shared" si="14"/>
        <v>0</v>
      </c>
      <c r="V20" s="36">
        <f t="shared" si="15"/>
        <v>0</v>
      </c>
      <c r="W20" s="37">
        <f t="shared" si="16"/>
        <v>0</v>
      </c>
      <c r="X20" s="38" t="e">
        <f t="shared" si="17"/>
        <v>#DIV/0!</v>
      </c>
    </row>
    <row r="21" spans="2:24" x14ac:dyDescent="0.25">
      <c r="B21" s="25" t="s">
        <v>53</v>
      </c>
      <c r="C21" s="27"/>
      <c r="D21" s="27"/>
      <c r="E21" s="25"/>
      <c r="F21" s="25"/>
      <c r="G21" s="26"/>
      <c r="H21" s="26"/>
      <c r="I21" s="26"/>
      <c r="J21" s="26"/>
      <c r="K21" s="14"/>
      <c r="L21" s="28">
        <f t="shared" si="12"/>
        <v>0</v>
      </c>
      <c r="M21" s="29">
        <f t="shared" si="13"/>
        <v>0</v>
      </c>
      <c r="N21" s="25"/>
      <c r="O21" s="25"/>
      <c r="P21" s="26"/>
      <c r="Q21" s="26"/>
      <c r="R21" s="26"/>
      <c r="S21" s="26"/>
      <c r="T21" s="14"/>
      <c r="U21" s="28">
        <f t="shared" si="14"/>
        <v>0</v>
      </c>
      <c r="V21" s="36">
        <f t="shared" si="15"/>
        <v>0</v>
      </c>
      <c r="W21" s="37">
        <f t="shared" si="16"/>
        <v>0</v>
      </c>
      <c r="X21" s="38" t="e">
        <f t="shared" si="17"/>
        <v>#DIV/0!</v>
      </c>
    </row>
    <row r="22" spans="2:24" x14ac:dyDescent="0.25">
      <c r="B22" s="25" t="s">
        <v>54</v>
      </c>
      <c r="C22" s="27"/>
      <c r="D22" s="27"/>
      <c r="E22" s="25"/>
      <c r="F22" s="25"/>
      <c r="G22" s="26"/>
      <c r="H22" s="26"/>
      <c r="I22" s="26"/>
      <c r="J22" s="26"/>
      <c r="K22" s="14"/>
      <c r="L22" s="28">
        <f t="shared" si="12"/>
        <v>0</v>
      </c>
      <c r="M22" s="29">
        <f t="shared" si="13"/>
        <v>0</v>
      </c>
      <c r="N22" s="25"/>
      <c r="O22" s="25"/>
      <c r="P22" s="26"/>
      <c r="Q22" s="26"/>
      <c r="R22" s="26"/>
      <c r="S22" s="26"/>
      <c r="T22" s="14"/>
      <c r="U22" s="28">
        <f t="shared" si="14"/>
        <v>0</v>
      </c>
      <c r="V22" s="36">
        <f t="shared" si="15"/>
        <v>0</v>
      </c>
      <c r="W22" s="37">
        <f t="shared" si="16"/>
        <v>0</v>
      </c>
      <c r="X22" s="38" t="e">
        <f t="shared" si="17"/>
        <v>#DIV/0!</v>
      </c>
    </row>
    <row r="23" spans="2:24" x14ac:dyDescent="0.25">
      <c r="B23" s="25" t="s">
        <v>55</v>
      </c>
      <c r="C23" s="27"/>
      <c r="D23" s="27"/>
      <c r="E23" s="25"/>
      <c r="F23" s="25"/>
      <c r="G23" s="26"/>
      <c r="H23" s="26"/>
      <c r="I23" s="26"/>
      <c r="J23" s="26"/>
      <c r="K23" s="14"/>
      <c r="L23" s="28">
        <f t="shared" si="12"/>
        <v>0</v>
      </c>
      <c r="M23" s="29">
        <f t="shared" si="13"/>
        <v>0</v>
      </c>
      <c r="N23" s="25"/>
      <c r="O23" s="25"/>
      <c r="P23" s="26"/>
      <c r="Q23" s="26"/>
      <c r="R23" s="26"/>
      <c r="S23" s="26"/>
      <c r="T23" s="14"/>
      <c r="U23" s="28">
        <f t="shared" si="14"/>
        <v>0</v>
      </c>
      <c r="V23" s="36">
        <f t="shared" si="15"/>
        <v>0</v>
      </c>
      <c r="W23" s="37">
        <f t="shared" si="16"/>
        <v>0</v>
      </c>
      <c r="X23" s="38" t="e">
        <f t="shared" si="17"/>
        <v>#DIV/0!</v>
      </c>
    </row>
    <row r="24" spans="2:24" x14ac:dyDescent="0.25">
      <c r="B24" s="25" t="s">
        <v>56</v>
      </c>
      <c r="C24" s="27"/>
      <c r="D24" s="27"/>
      <c r="E24" s="25"/>
      <c r="F24" s="25"/>
      <c r="G24" s="26"/>
      <c r="H24" s="26"/>
      <c r="I24" s="26"/>
      <c r="J24" s="26"/>
      <c r="K24" s="14"/>
      <c r="L24" s="28">
        <f t="shared" si="12"/>
        <v>0</v>
      </c>
      <c r="M24" s="29">
        <f t="shared" si="13"/>
        <v>0</v>
      </c>
      <c r="N24" s="25"/>
      <c r="O24" s="25"/>
      <c r="P24" s="26"/>
      <c r="Q24" s="26"/>
      <c r="R24" s="26"/>
      <c r="S24" s="26"/>
      <c r="T24" s="14"/>
      <c r="U24" s="28">
        <f t="shared" si="14"/>
        <v>0</v>
      </c>
      <c r="V24" s="36">
        <f t="shared" si="15"/>
        <v>0</v>
      </c>
      <c r="W24" s="37">
        <f t="shared" si="16"/>
        <v>0</v>
      </c>
      <c r="X24" s="38" t="e">
        <f t="shared" si="17"/>
        <v>#DIV/0!</v>
      </c>
    </row>
    <row r="25" spans="2:24" x14ac:dyDescent="0.25">
      <c r="B25" s="25" t="s">
        <v>57</v>
      </c>
      <c r="C25" s="27"/>
      <c r="D25" s="27"/>
      <c r="E25" s="25"/>
      <c r="F25" s="25"/>
      <c r="G25" s="26"/>
      <c r="H25" s="26"/>
      <c r="I25" s="26"/>
      <c r="J25" s="26"/>
      <c r="K25" s="14"/>
      <c r="L25" s="28">
        <f t="shared" si="12"/>
        <v>0</v>
      </c>
      <c r="M25" s="29">
        <f t="shared" si="13"/>
        <v>0</v>
      </c>
      <c r="N25" s="25"/>
      <c r="O25" s="25"/>
      <c r="P25" s="26"/>
      <c r="Q25" s="26"/>
      <c r="R25" s="26"/>
      <c r="S25" s="26"/>
      <c r="T25" s="14"/>
      <c r="U25" s="28">
        <f t="shared" si="14"/>
        <v>0</v>
      </c>
      <c r="V25" s="36">
        <f t="shared" si="15"/>
        <v>0</v>
      </c>
      <c r="W25" s="37">
        <f t="shared" si="16"/>
        <v>0</v>
      </c>
      <c r="X25" s="38" t="e">
        <f t="shared" si="17"/>
        <v>#DIV/0!</v>
      </c>
    </row>
    <row r="26" spans="2:24" x14ac:dyDescent="0.25">
      <c r="P26" s="41">
        <f>SUM(P6:P25)</f>
        <v>0</v>
      </c>
      <c r="Q26" s="41"/>
      <c r="R26" s="41"/>
      <c r="S26" s="41"/>
      <c r="V26" s="42"/>
      <c r="W26" s="42">
        <f>SUM(W6:W25)</f>
        <v>4481.8496197955501</v>
      </c>
    </row>
  </sheetData>
  <mergeCells count="1">
    <mergeCell ref="B4:E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6146" r:id="rId4">
          <objectPr defaultSize="0" autoPict="0" r:id="rId5">
            <anchor moveWithCells="1">
              <from>
                <xdr:col>21</xdr:col>
                <xdr:colOff>495300</xdr:colOff>
                <xdr:row>0</xdr:row>
                <xdr:rowOff>0</xdr:rowOff>
              </from>
              <to>
                <xdr:col>24</xdr:col>
                <xdr:colOff>0</xdr:colOff>
                <xdr:row>3</xdr:row>
                <xdr:rowOff>152400</xdr:rowOff>
              </to>
            </anchor>
          </objectPr>
        </oleObject>
      </mc:Choice>
      <mc:Fallback>
        <oleObject progId="AcroExch.Document.7" shapeId="614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5"/>
  <sheetViews>
    <sheetView showGridLines="0" workbookViewId="0">
      <selection activeCell="T28" sqref="T28"/>
    </sheetView>
  </sheetViews>
  <sheetFormatPr defaultRowHeight="13.2" x14ac:dyDescent="0.25"/>
  <cols>
    <col min="2" max="2" width="9.109375" style="1"/>
    <col min="3" max="6" width="7.5546875" bestFit="1" customWidth="1"/>
    <col min="7" max="16" width="9.109375" bestFit="1" customWidth="1"/>
    <col min="18" max="18" width="39.6640625" bestFit="1" customWidth="1"/>
    <col min="20" max="20" width="15.44140625" bestFit="1" customWidth="1"/>
  </cols>
  <sheetData>
    <row r="1" spans="1:20" ht="20.399999999999999" x14ac:dyDescent="0.35">
      <c r="C1" s="145" t="s">
        <v>68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20" ht="24.6" x14ac:dyDescent="0.4">
      <c r="C2" s="66">
        <v>5</v>
      </c>
      <c r="D2" s="66">
        <v>10</v>
      </c>
      <c r="E2" s="66">
        <v>15</v>
      </c>
      <c r="F2" s="66">
        <v>20</v>
      </c>
      <c r="G2" s="66">
        <v>25</v>
      </c>
      <c r="H2" s="66">
        <v>30</v>
      </c>
      <c r="I2" s="66">
        <v>35</v>
      </c>
      <c r="J2" s="66">
        <v>40</v>
      </c>
      <c r="K2" s="66">
        <v>45</v>
      </c>
      <c r="L2" s="66">
        <v>50</v>
      </c>
      <c r="M2" s="66">
        <v>55</v>
      </c>
      <c r="N2" s="66">
        <v>60</v>
      </c>
      <c r="O2" s="66">
        <v>65</v>
      </c>
      <c r="P2" s="66">
        <v>70</v>
      </c>
      <c r="R2" s="18" t="s">
        <v>4</v>
      </c>
      <c r="S2" s="18"/>
    </row>
    <row r="3" spans="1:20" ht="25.2" thickBot="1" x14ac:dyDescent="0.45">
      <c r="A3" s="146" t="s">
        <v>63</v>
      </c>
      <c r="B3" s="66">
        <v>0.5</v>
      </c>
      <c r="C3" s="67">
        <f>(((((($T$8+14.69)/14.69)^0.286)-1)*0.2583*C$2)*0.746*($B3*$T$11*52)*$T$12)/92.5%</f>
        <v>12.245490764468723</v>
      </c>
      <c r="D3" s="67">
        <f t="shared" ref="D3:P18" si="0">(((((($T$8+14.69)/14.69)^0.286)-1)*0.2583*D$2)*0.746*($B3*$T$11*52)*$T$12)/92.5%</f>
        <v>24.490981528937446</v>
      </c>
      <c r="E3" s="67">
        <f t="shared" si="0"/>
        <v>36.736472293406173</v>
      </c>
      <c r="F3" s="67">
        <f t="shared" si="0"/>
        <v>48.981963057874893</v>
      </c>
      <c r="G3" s="67">
        <f t="shared" si="0"/>
        <v>61.227453822343612</v>
      </c>
      <c r="H3" s="67">
        <f t="shared" si="0"/>
        <v>73.472944586812346</v>
      </c>
      <c r="I3" s="67">
        <f t="shared" si="0"/>
        <v>85.718435351281045</v>
      </c>
      <c r="J3" s="67">
        <f t="shared" si="0"/>
        <v>97.963926115749786</v>
      </c>
      <c r="K3" s="67">
        <f t="shared" si="0"/>
        <v>110.20941688021851</v>
      </c>
      <c r="L3" s="67">
        <f t="shared" si="0"/>
        <v>122.45490764468722</v>
      </c>
      <c r="M3" s="67">
        <f t="shared" si="0"/>
        <v>134.70039840915595</v>
      </c>
      <c r="N3" s="67">
        <f t="shared" si="0"/>
        <v>146.94588917362469</v>
      </c>
      <c r="O3" s="67">
        <f t="shared" si="0"/>
        <v>159.19137993809343</v>
      </c>
      <c r="P3" s="67">
        <f t="shared" si="0"/>
        <v>171.43687070256209</v>
      </c>
      <c r="R3" s="18"/>
      <c r="S3" s="18"/>
    </row>
    <row r="4" spans="1:20" ht="13.8" thickBot="1" x14ac:dyDescent="0.3">
      <c r="A4" s="146"/>
      <c r="B4" s="66">
        <v>1</v>
      </c>
      <c r="C4" s="67">
        <f t="shared" ref="C4:P22" si="1">(((((($T$8+14.69)/14.69)^0.286)-1)*0.2583*C$2)*0.746*($B4*$T$11*52)*$T$12)/92.5%</f>
        <v>24.490981528937446</v>
      </c>
      <c r="D4" s="67">
        <f t="shared" si="0"/>
        <v>48.981963057874893</v>
      </c>
      <c r="E4" s="67">
        <f t="shared" si="0"/>
        <v>73.472944586812346</v>
      </c>
      <c r="F4" s="72">
        <f t="shared" si="0"/>
        <v>97.963926115749786</v>
      </c>
      <c r="G4" s="72">
        <f t="shared" si="0"/>
        <v>122.45490764468722</v>
      </c>
      <c r="H4" s="72">
        <f t="shared" si="0"/>
        <v>146.94588917362469</v>
      </c>
      <c r="I4" s="72">
        <f t="shared" si="0"/>
        <v>171.43687070256209</v>
      </c>
      <c r="J4" s="72">
        <f t="shared" si="0"/>
        <v>195.92785223149957</v>
      </c>
      <c r="K4" s="67">
        <f t="shared" si="0"/>
        <v>220.41883376043702</v>
      </c>
      <c r="L4" s="67">
        <f t="shared" si="0"/>
        <v>244.90981528937445</v>
      </c>
      <c r="M4" s="72">
        <f t="shared" si="0"/>
        <v>269.4007968183119</v>
      </c>
      <c r="N4" s="72">
        <f t="shared" si="0"/>
        <v>293.89177834724939</v>
      </c>
      <c r="O4" s="72">
        <f t="shared" si="0"/>
        <v>318.38275987618687</v>
      </c>
      <c r="P4" s="72">
        <f t="shared" si="0"/>
        <v>342.87374140512418</v>
      </c>
      <c r="R4" s="2" t="s">
        <v>22</v>
      </c>
      <c r="T4" s="23" t="s">
        <v>24</v>
      </c>
    </row>
    <row r="5" spans="1:20" ht="13.8" thickBot="1" x14ac:dyDescent="0.3">
      <c r="A5" s="146"/>
      <c r="B5" s="66">
        <v>1.5</v>
      </c>
      <c r="C5" s="72">
        <f t="shared" si="1"/>
        <v>36.736472293406166</v>
      </c>
      <c r="D5" s="72">
        <f t="shared" si="0"/>
        <v>73.472944586812332</v>
      </c>
      <c r="E5" s="72">
        <f t="shared" si="0"/>
        <v>110.20941688021851</v>
      </c>
      <c r="F5" s="72">
        <f t="shared" si="0"/>
        <v>146.94588917362466</v>
      </c>
      <c r="G5" s="72">
        <f t="shared" si="0"/>
        <v>183.68236146703083</v>
      </c>
      <c r="H5" s="72">
        <f t="shared" si="0"/>
        <v>220.41883376043702</v>
      </c>
      <c r="I5" s="72">
        <f t="shared" si="0"/>
        <v>257.15530605384316</v>
      </c>
      <c r="J5" s="80">
        <f t="shared" si="0"/>
        <v>293.89177834724933</v>
      </c>
      <c r="K5" s="80">
        <f t="shared" si="0"/>
        <v>330.62825064065555</v>
      </c>
      <c r="L5" s="72">
        <f t="shared" si="0"/>
        <v>367.36472293406166</v>
      </c>
      <c r="M5" s="72">
        <f t="shared" si="0"/>
        <v>404.10119522746788</v>
      </c>
      <c r="N5" s="72">
        <f t="shared" si="0"/>
        <v>440.83766752087405</v>
      </c>
      <c r="O5" s="72">
        <f t="shared" si="0"/>
        <v>477.57413981428022</v>
      </c>
      <c r="P5" s="72">
        <f t="shared" si="0"/>
        <v>514.31061210768632</v>
      </c>
      <c r="R5" s="10"/>
      <c r="S5" s="10"/>
      <c r="T5" s="1"/>
    </row>
    <row r="6" spans="1:20" ht="14.4" thickTop="1" thickBot="1" x14ac:dyDescent="0.3">
      <c r="A6" s="146"/>
      <c r="B6" s="66">
        <v>2</v>
      </c>
      <c r="C6" s="72">
        <f t="shared" si="1"/>
        <v>48.981963057874893</v>
      </c>
      <c r="D6" s="72">
        <f t="shared" si="0"/>
        <v>97.963926115749786</v>
      </c>
      <c r="E6" s="72">
        <f t="shared" si="0"/>
        <v>146.94588917362469</v>
      </c>
      <c r="F6" s="72">
        <f t="shared" si="0"/>
        <v>195.92785223149957</v>
      </c>
      <c r="G6" s="72">
        <f t="shared" si="0"/>
        <v>244.90981528937445</v>
      </c>
      <c r="H6" s="72">
        <f t="shared" si="0"/>
        <v>293.89177834724939</v>
      </c>
      <c r="I6" s="72">
        <f t="shared" si="0"/>
        <v>342.87374140512418</v>
      </c>
      <c r="J6" s="79">
        <f t="shared" si="0"/>
        <v>391.85570446299914</v>
      </c>
      <c r="K6" s="69">
        <f t="shared" si="0"/>
        <v>440.83766752087405</v>
      </c>
      <c r="L6" s="92">
        <f t="shared" si="0"/>
        <v>489.8196305787489</v>
      </c>
      <c r="M6" s="87">
        <f t="shared" si="0"/>
        <v>538.80159363662381</v>
      </c>
      <c r="N6" s="67">
        <f t="shared" si="0"/>
        <v>587.78355669449877</v>
      </c>
      <c r="O6" s="67">
        <f t="shared" si="0"/>
        <v>636.76551975237373</v>
      </c>
      <c r="P6" s="67">
        <f t="shared" si="0"/>
        <v>685.74748281024836</v>
      </c>
      <c r="R6" s="22" t="s">
        <v>23</v>
      </c>
      <c r="S6" s="44"/>
      <c r="T6" s="43" t="s">
        <v>60</v>
      </c>
    </row>
    <row r="7" spans="1:20" ht="14.4" thickTop="1" thickBot="1" x14ac:dyDescent="0.3">
      <c r="A7" s="146"/>
      <c r="B7" s="66">
        <v>2.5</v>
      </c>
      <c r="C7" s="72">
        <f t="shared" si="1"/>
        <v>61.22745382234362</v>
      </c>
      <c r="D7" s="72">
        <f t="shared" si="0"/>
        <v>122.45490764468724</v>
      </c>
      <c r="E7" s="72">
        <f t="shared" si="0"/>
        <v>183.68236146703086</v>
      </c>
      <c r="F7" s="72">
        <f t="shared" si="0"/>
        <v>244.90981528937448</v>
      </c>
      <c r="G7" s="72">
        <f t="shared" si="0"/>
        <v>306.13726911171807</v>
      </c>
      <c r="H7" s="80">
        <f t="shared" si="0"/>
        <v>367.36472293406172</v>
      </c>
      <c r="I7" s="77">
        <f t="shared" si="0"/>
        <v>428.59217675640525</v>
      </c>
      <c r="J7" s="69">
        <f t="shared" si="0"/>
        <v>489.81963057874896</v>
      </c>
      <c r="K7" s="68">
        <f t="shared" si="0"/>
        <v>551.04708440109255</v>
      </c>
      <c r="L7" s="107">
        <f t="shared" si="0"/>
        <v>612.27453822343614</v>
      </c>
      <c r="M7" s="108">
        <f t="shared" si="0"/>
        <v>673.50199204577984</v>
      </c>
      <c r="N7" s="67">
        <f t="shared" si="0"/>
        <v>734.72944586812343</v>
      </c>
      <c r="O7" s="90">
        <f t="shared" si="0"/>
        <v>795.95689969046703</v>
      </c>
      <c r="P7" s="67">
        <f t="shared" si="0"/>
        <v>857.1843535128105</v>
      </c>
      <c r="R7" s="10"/>
      <c r="S7" s="10"/>
      <c r="T7" s="1"/>
    </row>
    <row r="8" spans="1:20" ht="14.4" thickTop="1" thickBot="1" x14ac:dyDescent="0.3">
      <c r="A8" s="146"/>
      <c r="B8" s="66">
        <v>3</v>
      </c>
      <c r="C8" s="72">
        <f t="shared" si="1"/>
        <v>73.472944586812332</v>
      </c>
      <c r="D8" s="72">
        <f t="shared" si="0"/>
        <v>146.94588917362466</v>
      </c>
      <c r="E8" s="72">
        <f t="shared" si="0"/>
        <v>220.41883376043702</v>
      </c>
      <c r="F8" s="72">
        <f t="shared" si="0"/>
        <v>293.89177834724933</v>
      </c>
      <c r="G8" s="78">
        <f t="shared" si="0"/>
        <v>367.36472293406166</v>
      </c>
      <c r="H8" s="69">
        <f t="shared" si="0"/>
        <v>440.83766752087405</v>
      </c>
      <c r="I8" s="84">
        <f t="shared" si="0"/>
        <v>514.31061210768632</v>
      </c>
      <c r="J8" s="84">
        <f t="shared" si="0"/>
        <v>587.78355669449866</v>
      </c>
      <c r="K8" s="105">
        <f t="shared" si="0"/>
        <v>661.2565012813111</v>
      </c>
      <c r="L8" s="75">
        <f t="shared" si="0"/>
        <v>734.72944586812332</v>
      </c>
      <c r="M8" s="109">
        <f t="shared" si="0"/>
        <v>808.20239045493577</v>
      </c>
      <c r="N8" s="67">
        <f t="shared" si="0"/>
        <v>881.6753350417481</v>
      </c>
      <c r="O8" s="89">
        <f t="shared" si="0"/>
        <v>955.14827962856043</v>
      </c>
      <c r="P8" s="114">
        <f t="shared" si="0"/>
        <v>1028.6212242153726</v>
      </c>
      <c r="R8" s="10" t="s">
        <v>7</v>
      </c>
      <c r="S8" s="10"/>
      <c r="T8" s="15">
        <v>125</v>
      </c>
    </row>
    <row r="9" spans="1:20" ht="14.4" thickTop="1" thickBot="1" x14ac:dyDescent="0.3">
      <c r="A9" s="146"/>
      <c r="B9" s="66">
        <v>3.5</v>
      </c>
      <c r="C9" s="72">
        <f t="shared" si="1"/>
        <v>85.718435351281059</v>
      </c>
      <c r="D9" s="72">
        <f t="shared" si="0"/>
        <v>171.43687070256212</v>
      </c>
      <c r="E9" s="72">
        <f t="shared" si="0"/>
        <v>257.15530605384322</v>
      </c>
      <c r="F9" s="76">
        <f t="shared" si="0"/>
        <v>342.87374140512424</v>
      </c>
      <c r="G9" s="69">
        <f t="shared" si="0"/>
        <v>428.59217675640531</v>
      </c>
      <c r="H9" s="85">
        <f t="shared" si="0"/>
        <v>514.31061210768644</v>
      </c>
      <c r="I9" s="75">
        <f t="shared" si="0"/>
        <v>600.02904745896728</v>
      </c>
      <c r="J9" s="75">
        <f t="shared" si="0"/>
        <v>685.74748281024847</v>
      </c>
      <c r="K9" s="106">
        <f t="shared" si="0"/>
        <v>771.46591816152966</v>
      </c>
      <c r="L9" s="104">
        <f t="shared" si="0"/>
        <v>857.18435351281062</v>
      </c>
      <c r="M9" s="110">
        <f t="shared" si="0"/>
        <v>942.90278886409169</v>
      </c>
      <c r="N9" s="97">
        <f t="shared" si="0"/>
        <v>1028.6212242153729</v>
      </c>
      <c r="O9" s="73">
        <f t="shared" si="0"/>
        <v>1114.3396595666536</v>
      </c>
      <c r="P9" s="91">
        <f t="shared" si="0"/>
        <v>1200.0580949179346</v>
      </c>
      <c r="R9" s="65" t="s">
        <v>62</v>
      </c>
      <c r="S9" s="10"/>
      <c r="T9" s="15">
        <v>75</v>
      </c>
    </row>
    <row r="10" spans="1:20" ht="14.4" thickTop="1" thickBot="1" x14ac:dyDescent="0.3">
      <c r="A10" s="146"/>
      <c r="B10" s="66">
        <v>4</v>
      </c>
      <c r="C10" s="72">
        <f t="shared" si="1"/>
        <v>97.963926115749786</v>
      </c>
      <c r="D10" s="72">
        <f t="shared" si="0"/>
        <v>195.92785223149957</v>
      </c>
      <c r="E10" s="72">
        <f t="shared" si="0"/>
        <v>293.89177834724939</v>
      </c>
      <c r="F10" s="78">
        <f t="shared" si="0"/>
        <v>391.85570446299914</v>
      </c>
      <c r="G10" s="69">
        <f t="shared" si="0"/>
        <v>489.8196305787489</v>
      </c>
      <c r="H10" s="68">
        <f t="shared" si="0"/>
        <v>587.78355669449877</v>
      </c>
      <c r="I10" s="103">
        <f t="shared" si="0"/>
        <v>685.74748281024836</v>
      </c>
      <c r="J10" s="75">
        <f t="shared" si="0"/>
        <v>783.71140892599828</v>
      </c>
      <c r="K10" s="75">
        <f t="shared" si="0"/>
        <v>881.6753350417481</v>
      </c>
      <c r="L10" s="98">
        <f t="shared" si="0"/>
        <v>979.6392611574978</v>
      </c>
      <c r="M10" s="95">
        <f t="shared" si="0"/>
        <v>1077.6031872732476</v>
      </c>
      <c r="N10" s="70">
        <f t="shared" si="0"/>
        <v>1175.5671133889975</v>
      </c>
      <c r="O10" s="73">
        <f t="shared" si="0"/>
        <v>1273.5310395047475</v>
      </c>
      <c r="P10" s="91">
        <f t="shared" si="0"/>
        <v>1371.4949656204967</v>
      </c>
      <c r="R10" s="13" t="s">
        <v>9</v>
      </c>
      <c r="S10" s="13"/>
      <c r="T10" s="16">
        <v>5</v>
      </c>
    </row>
    <row r="11" spans="1:20" ht="14.4" thickTop="1" thickBot="1" x14ac:dyDescent="0.3">
      <c r="A11" s="146"/>
      <c r="B11" s="66">
        <v>4.5</v>
      </c>
      <c r="C11" s="72">
        <f t="shared" si="1"/>
        <v>110.20941688021851</v>
      </c>
      <c r="D11" s="72">
        <f t="shared" si="0"/>
        <v>220.41883376043702</v>
      </c>
      <c r="E11" s="76">
        <f t="shared" si="0"/>
        <v>330.62825064065555</v>
      </c>
      <c r="F11" s="77">
        <f t="shared" si="0"/>
        <v>440.83766752087405</v>
      </c>
      <c r="G11" s="84">
        <f t="shared" si="0"/>
        <v>551.04708440109255</v>
      </c>
      <c r="H11" s="99">
        <f t="shared" si="0"/>
        <v>661.2565012813111</v>
      </c>
      <c r="I11" s="75">
        <f t="shared" si="0"/>
        <v>771.46591816152954</v>
      </c>
      <c r="J11" s="101">
        <f t="shared" si="0"/>
        <v>881.6753350417481</v>
      </c>
      <c r="K11" s="93">
        <f t="shared" si="0"/>
        <v>991.88475192196665</v>
      </c>
      <c r="L11" s="73">
        <f t="shared" si="0"/>
        <v>1102.0941688021851</v>
      </c>
      <c r="M11" s="96">
        <f t="shared" si="0"/>
        <v>1212.3035856824038</v>
      </c>
      <c r="N11" s="70">
        <f t="shared" si="0"/>
        <v>1322.5130025626222</v>
      </c>
      <c r="O11" s="73">
        <f t="shared" si="0"/>
        <v>1432.7224194428406</v>
      </c>
      <c r="P11" s="91">
        <f t="shared" si="0"/>
        <v>1542.9318363230591</v>
      </c>
      <c r="R11" s="13" t="s">
        <v>10</v>
      </c>
      <c r="S11" s="13"/>
      <c r="T11" s="16">
        <v>5</v>
      </c>
    </row>
    <row r="12" spans="1:20" ht="14.4" thickTop="1" thickBot="1" x14ac:dyDescent="0.3">
      <c r="A12" s="146"/>
      <c r="B12" s="66">
        <v>5</v>
      </c>
      <c r="C12" s="72">
        <f t="shared" si="1"/>
        <v>122.45490764468724</v>
      </c>
      <c r="D12" s="72">
        <f t="shared" si="0"/>
        <v>244.90981528937448</v>
      </c>
      <c r="E12" s="72">
        <f t="shared" si="0"/>
        <v>367.36472293406172</v>
      </c>
      <c r="F12" s="82">
        <f t="shared" si="0"/>
        <v>489.81963057874896</v>
      </c>
      <c r="G12" s="75">
        <f t="shared" si="0"/>
        <v>612.27453822343614</v>
      </c>
      <c r="H12" s="75">
        <f t="shared" si="0"/>
        <v>734.72944586812343</v>
      </c>
      <c r="I12" s="75">
        <f t="shared" si="0"/>
        <v>857.1843535128105</v>
      </c>
      <c r="J12" s="102">
        <f t="shared" si="0"/>
        <v>979.63926115749791</v>
      </c>
      <c r="K12" s="94">
        <f t="shared" si="0"/>
        <v>1102.0941688021851</v>
      </c>
      <c r="L12" s="70">
        <f t="shared" si="0"/>
        <v>1224.5490764468723</v>
      </c>
      <c r="M12" s="96">
        <f t="shared" si="0"/>
        <v>1347.0039840915597</v>
      </c>
      <c r="N12" s="70">
        <f t="shared" si="0"/>
        <v>1469.4588917362469</v>
      </c>
      <c r="O12" s="73">
        <f t="shared" si="0"/>
        <v>1591.9137993809341</v>
      </c>
      <c r="P12" s="91">
        <f t="shared" si="0"/>
        <v>1714.368707025621</v>
      </c>
      <c r="R12" s="13" t="s">
        <v>11</v>
      </c>
      <c r="S12" s="13"/>
      <c r="T12" s="17">
        <v>0.1</v>
      </c>
    </row>
    <row r="13" spans="1:20" ht="14.4" thickTop="1" thickBot="1" x14ac:dyDescent="0.3">
      <c r="A13" s="146"/>
      <c r="B13" s="66">
        <v>5.5</v>
      </c>
      <c r="C13" s="72">
        <f t="shared" si="1"/>
        <v>134.70039840915595</v>
      </c>
      <c r="D13" s="76">
        <f t="shared" si="0"/>
        <v>269.4007968183119</v>
      </c>
      <c r="E13" s="77">
        <f t="shared" si="0"/>
        <v>404.10119522746788</v>
      </c>
      <c r="F13" s="85">
        <f t="shared" si="0"/>
        <v>538.80159363662381</v>
      </c>
      <c r="G13" s="75">
        <f t="shared" si="0"/>
        <v>673.50199204577973</v>
      </c>
      <c r="H13" s="75">
        <f t="shared" si="0"/>
        <v>808.20239045493577</v>
      </c>
      <c r="I13" s="104">
        <f t="shared" si="0"/>
        <v>942.90278886409158</v>
      </c>
      <c r="J13" s="88">
        <f t="shared" si="0"/>
        <v>1077.6031872732476</v>
      </c>
      <c r="K13" s="94">
        <f t="shared" si="0"/>
        <v>1212.3035856824038</v>
      </c>
      <c r="L13" s="70">
        <f t="shared" si="0"/>
        <v>1347.0039840915595</v>
      </c>
      <c r="M13" s="96">
        <f t="shared" si="0"/>
        <v>1481.7043825007156</v>
      </c>
      <c r="N13" s="70">
        <f t="shared" si="0"/>
        <v>1616.4047809098715</v>
      </c>
      <c r="O13" s="73">
        <f t="shared" si="0"/>
        <v>1751.1051793190275</v>
      </c>
      <c r="P13" s="91">
        <f t="shared" si="0"/>
        <v>1885.8055777281832</v>
      </c>
      <c r="R13" s="13"/>
      <c r="S13" s="13"/>
      <c r="T13" s="5"/>
    </row>
    <row r="14" spans="1:20" ht="14.4" thickTop="1" thickBot="1" x14ac:dyDescent="0.3">
      <c r="A14" s="146"/>
      <c r="B14" s="66">
        <v>6</v>
      </c>
      <c r="C14" s="72">
        <f t="shared" si="1"/>
        <v>146.94588917362466</v>
      </c>
      <c r="D14" s="76">
        <f t="shared" si="0"/>
        <v>293.89177834724933</v>
      </c>
      <c r="E14" s="69">
        <f t="shared" si="0"/>
        <v>440.83766752087405</v>
      </c>
      <c r="F14" s="86">
        <f t="shared" si="0"/>
        <v>587.78355669449866</v>
      </c>
      <c r="G14" s="75">
        <f t="shared" si="0"/>
        <v>734.72944586812332</v>
      </c>
      <c r="H14" s="101">
        <f t="shared" si="0"/>
        <v>881.6753350417481</v>
      </c>
      <c r="I14" s="70">
        <f t="shared" si="0"/>
        <v>1028.6212242153726</v>
      </c>
      <c r="J14" s="70">
        <f t="shared" si="0"/>
        <v>1175.5671133889973</v>
      </c>
      <c r="K14" s="94">
        <f t="shared" si="0"/>
        <v>1322.5130025626222</v>
      </c>
      <c r="L14" s="70">
        <f t="shared" si="0"/>
        <v>1469.4588917362466</v>
      </c>
      <c r="M14" s="96">
        <f t="shared" si="0"/>
        <v>1616.4047809098715</v>
      </c>
      <c r="N14" s="70">
        <f t="shared" si="0"/>
        <v>1763.3506700834962</v>
      </c>
      <c r="O14" s="73">
        <f t="shared" si="0"/>
        <v>1910.2965592571209</v>
      </c>
      <c r="P14" s="91">
        <f t="shared" si="0"/>
        <v>2057.2424484307453</v>
      </c>
    </row>
    <row r="15" spans="1:20" ht="14.4" thickTop="1" thickBot="1" x14ac:dyDescent="0.3">
      <c r="A15" s="146"/>
      <c r="B15" s="66">
        <v>6.5</v>
      </c>
      <c r="C15" s="72">
        <f t="shared" si="1"/>
        <v>159.19137993809341</v>
      </c>
      <c r="D15" s="76">
        <f t="shared" si="0"/>
        <v>318.38275987618681</v>
      </c>
      <c r="E15" s="82">
        <f t="shared" si="0"/>
        <v>477.57413981428022</v>
      </c>
      <c r="F15" s="74">
        <f t="shared" si="0"/>
        <v>636.76551975237362</v>
      </c>
      <c r="G15" s="75">
        <f t="shared" si="0"/>
        <v>795.95689969046703</v>
      </c>
      <c r="H15" s="102">
        <f t="shared" si="0"/>
        <v>955.14827962856043</v>
      </c>
      <c r="I15" s="70">
        <f t="shared" si="0"/>
        <v>1114.3396595666536</v>
      </c>
      <c r="J15" s="70">
        <f t="shared" si="0"/>
        <v>1273.5310395047472</v>
      </c>
      <c r="K15" s="94">
        <f t="shared" si="0"/>
        <v>1432.7224194428406</v>
      </c>
      <c r="L15" s="70">
        <f t="shared" si="0"/>
        <v>1591.9137993809341</v>
      </c>
      <c r="M15" s="96">
        <f t="shared" si="0"/>
        <v>1751.1051793190277</v>
      </c>
      <c r="N15" s="70">
        <f t="shared" si="0"/>
        <v>1910.2965592571209</v>
      </c>
      <c r="O15" s="73">
        <f t="shared" si="0"/>
        <v>2069.487939195214</v>
      </c>
      <c r="P15" s="91">
        <f t="shared" si="0"/>
        <v>2228.6793191333072</v>
      </c>
      <c r="R15" s="2"/>
      <c r="S15" s="2"/>
      <c r="T15" s="1"/>
    </row>
    <row r="16" spans="1:20" ht="14.4" thickTop="1" thickBot="1" x14ac:dyDescent="0.3">
      <c r="A16" s="146"/>
      <c r="B16" s="66">
        <v>7</v>
      </c>
      <c r="C16" s="72">
        <f t="shared" si="1"/>
        <v>171.43687070256212</v>
      </c>
      <c r="D16" s="76">
        <f t="shared" si="0"/>
        <v>342.87374140512424</v>
      </c>
      <c r="E16" s="82">
        <f t="shared" si="0"/>
        <v>514.31061210768644</v>
      </c>
      <c r="F16" s="74">
        <f t="shared" si="0"/>
        <v>685.74748281024847</v>
      </c>
      <c r="G16" s="101">
        <f t="shared" si="0"/>
        <v>857.18435351281062</v>
      </c>
      <c r="H16" s="88">
        <f t="shared" si="0"/>
        <v>1028.6212242153729</v>
      </c>
      <c r="I16" s="70">
        <f t="shared" si="0"/>
        <v>1200.0580949179346</v>
      </c>
      <c r="J16" s="70">
        <f t="shared" si="0"/>
        <v>1371.4949656204969</v>
      </c>
      <c r="K16" s="94">
        <f t="shared" si="0"/>
        <v>1542.9318363230593</v>
      </c>
      <c r="L16" s="70">
        <f t="shared" si="0"/>
        <v>1714.3687070256212</v>
      </c>
      <c r="M16" s="96">
        <f t="shared" si="0"/>
        <v>1885.8055777281834</v>
      </c>
      <c r="N16" s="70">
        <f t="shared" si="0"/>
        <v>2057.2424484307458</v>
      </c>
      <c r="O16" s="73">
        <f t="shared" si="0"/>
        <v>2228.6793191333072</v>
      </c>
      <c r="P16" s="91">
        <f t="shared" si="0"/>
        <v>2400.1161898358691</v>
      </c>
      <c r="R16" s="21" t="s">
        <v>5</v>
      </c>
      <c r="T16" s="20">
        <f>(1.17*0.746*(T10*T11*52)*T12)/92.5%</f>
        <v>122.66659459459459</v>
      </c>
    </row>
    <row r="17" spans="1:20" x14ac:dyDescent="0.25">
      <c r="A17" s="146"/>
      <c r="B17" s="66">
        <v>7.5</v>
      </c>
      <c r="C17" s="72">
        <f t="shared" si="1"/>
        <v>183.68236146703086</v>
      </c>
      <c r="D17" s="76">
        <f t="shared" si="0"/>
        <v>367.36472293406172</v>
      </c>
      <c r="E17" s="82">
        <f t="shared" si="0"/>
        <v>551.04708440109255</v>
      </c>
      <c r="F17" s="74">
        <f t="shared" si="0"/>
        <v>734.72944586812343</v>
      </c>
      <c r="G17" s="101">
        <f t="shared" si="0"/>
        <v>918.41180733515421</v>
      </c>
      <c r="H17" s="70">
        <f t="shared" si="0"/>
        <v>1102.0941688021851</v>
      </c>
      <c r="I17" s="70">
        <f t="shared" si="0"/>
        <v>1285.776530269216</v>
      </c>
      <c r="J17" s="70">
        <f t="shared" si="0"/>
        <v>1469.4588917362469</v>
      </c>
      <c r="K17" s="94">
        <f t="shared" si="0"/>
        <v>1653.1412532032775</v>
      </c>
      <c r="L17" s="70">
        <f t="shared" si="0"/>
        <v>1836.8236146703084</v>
      </c>
      <c r="M17" s="96">
        <f t="shared" si="0"/>
        <v>2020.5059761373393</v>
      </c>
      <c r="N17" s="70">
        <f t="shared" si="0"/>
        <v>2204.1883376043702</v>
      </c>
      <c r="O17" s="73">
        <f t="shared" si="0"/>
        <v>2387.8706990714008</v>
      </c>
      <c r="P17" s="91">
        <f t="shared" si="0"/>
        <v>2571.553060538432</v>
      </c>
      <c r="R17" s="4"/>
      <c r="S17" s="4"/>
      <c r="T17" s="6"/>
    </row>
    <row r="18" spans="1:20" ht="13.8" thickBot="1" x14ac:dyDescent="0.3">
      <c r="A18" s="146"/>
      <c r="B18" s="66">
        <v>8</v>
      </c>
      <c r="C18" s="72">
        <f t="shared" si="1"/>
        <v>195.92785223149957</v>
      </c>
      <c r="D18" s="78">
        <f t="shared" si="0"/>
        <v>391.85570446299914</v>
      </c>
      <c r="E18" s="83">
        <f t="shared" si="0"/>
        <v>587.78355669449877</v>
      </c>
      <c r="F18" s="74">
        <f t="shared" si="0"/>
        <v>783.71140892599828</v>
      </c>
      <c r="G18" s="102">
        <f t="shared" si="0"/>
        <v>979.6392611574978</v>
      </c>
      <c r="H18" s="70">
        <f t="shared" si="0"/>
        <v>1175.5671133889975</v>
      </c>
      <c r="I18" s="70">
        <f t="shared" si="0"/>
        <v>1371.4949656204967</v>
      </c>
      <c r="J18" s="70">
        <f t="shared" si="0"/>
        <v>1567.4228178519966</v>
      </c>
      <c r="K18" s="94">
        <f t="shared" si="0"/>
        <v>1763.3506700834962</v>
      </c>
      <c r="L18" s="70">
        <f t="shared" si="0"/>
        <v>1959.2785223149956</v>
      </c>
      <c r="M18" s="96">
        <f t="shared" si="0"/>
        <v>2155.2063745464952</v>
      </c>
      <c r="N18" s="70">
        <f t="shared" si="0"/>
        <v>2351.1342267779951</v>
      </c>
      <c r="O18" s="73">
        <f t="shared" si="0"/>
        <v>2547.0620790094949</v>
      </c>
      <c r="P18" s="91">
        <f t="shared" si="0"/>
        <v>2742.9899312409934</v>
      </c>
    </row>
    <row r="19" spans="1:20" ht="13.8" thickTop="1" x14ac:dyDescent="0.25">
      <c r="A19" s="146"/>
      <c r="B19" s="66">
        <v>8.5</v>
      </c>
      <c r="C19" s="76">
        <f t="shared" si="1"/>
        <v>208.17334299596826</v>
      </c>
      <c r="D19" s="81">
        <f t="shared" si="1"/>
        <v>416.34668599193651</v>
      </c>
      <c r="E19" s="99">
        <f t="shared" si="1"/>
        <v>624.52002898790488</v>
      </c>
      <c r="F19" s="101">
        <f t="shared" si="1"/>
        <v>832.69337198387302</v>
      </c>
      <c r="G19" s="88">
        <f t="shared" si="1"/>
        <v>1040.8667149798414</v>
      </c>
      <c r="H19" s="70">
        <f t="shared" si="1"/>
        <v>1249.0400579758098</v>
      </c>
      <c r="I19" s="70">
        <f t="shared" si="1"/>
        <v>1457.2134009717779</v>
      </c>
      <c r="J19" s="70">
        <f t="shared" si="1"/>
        <v>1665.386743967746</v>
      </c>
      <c r="K19" s="94">
        <f t="shared" si="1"/>
        <v>1873.5600869637149</v>
      </c>
      <c r="L19" s="70">
        <f t="shared" si="1"/>
        <v>2081.7334299596828</v>
      </c>
      <c r="M19" s="96">
        <f t="shared" si="1"/>
        <v>2289.9067729556514</v>
      </c>
      <c r="N19" s="70">
        <f t="shared" si="1"/>
        <v>2498.0801159516195</v>
      </c>
      <c r="O19" s="73">
        <f t="shared" si="1"/>
        <v>2706.2534589475881</v>
      </c>
      <c r="P19" s="91">
        <f t="shared" si="1"/>
        <v>2914.4268019435558</v>
      </c>
    </row>
    <row r="20" spans="1:20" x14ac:dyDescent="0.25">
      <c r="A20" s="146"/>
      <c r="B20" s="66">
        <v>9</v>
      </c>
      <c r="C20" s="76">
        <f t="shared" si="1"/>
        <v>220.41883376043702</v>
      </c>
      <c r="D20" s="82">
        <f t="shared" si="1"/>
        <v>440.83766752087405</v>
      </c>
      <c r="E20" s="74">
        <f t="shared" si="1"/>
        <v>661.2565012813111</v>
      </c>
      <c r="F20" s="101">
        <f t="shared" si="1"/>
        <v>881.6753350417481</v>
      </c>
      <c r="G20" s="70">
        <f t="shared" si="1"/>
        <v>1102.0941688021851</v>
      </c>
      <c r="H20" s="70">
        <f t="shared" si="1"/>
        <v>1322.5130025626222</v>
      </c>
      <c r="I20" s="70">
        <f t="shared" si="1"/>
        <v>1542.9318363230591</v>
      </c>
      <c r="J20" s="70">
        <f t="shared" si="1"/>
        <v>1763.3506700834962</v>
      </c>
      <c r="K20" s="94">
        <f t="shared" si="1"/>
        <v>1983.7695038439333</v>
      </c>
      <c r="L20" s="70">
        <f t="shared" si="1"/>
        <v>2204.1883376043702</v>
      </c>
      <c r="M20" s="96">
        <f t="shared" si="1"/>
        <v>2424.6071713648075</v>
      </c>
      <c r="N20" s="70">
        <f t="shared" si="1"/>
        <v>2645.0260051252444</v>
      </c>
      <c r="O20" s="73">
        <f t="shared" si="1"/>
        <v>2865.4448388856813</v>
      </c>
      <c r="P20" s="91">
        <f t="shared" si="1"/>
        <v>3085.8636726461182</v>
      </c>
    </row>
    <row r="21" spans="1:20" ht="13.8" thickBot="1" x14ac:dyDescent="0.3">
      <c r="A21" s="146"/>
      <c r="B21" s="66">
        <v>9.5</v>
      </c>
      <c r="C21" s="76">
        <f t="shared" si="1"/>
        <v>232.66432452490571</v>
      </c>
      <c r="D21" s="82">
        <f t="shared" si="1"/>
        <v>465.32864904981142</v>
      </c>
      <c r="E21" s="74">
        <f t="shared" si="1"/>
        <v>697.99297357471721</v>
      </c>
      <c r="F21" s="102">
        <f t="shared" si="1"/>
        <v>930.65729809962284</v>
      </c>
      <c r="G21" s="70">
        <f t="shared" si="1"/>
        <v>1163.3216226245288</v>
      </c>
      <c r="H21" s="70">
        <f t="shared" si="1"/>
        <v>1395.9859471494344</v>
      </c>
      <c r="I21" s="70">
        <f t="shared" si="1"/>
        <v>1628.6502716743398</v>
      </c>
      <c r="J21" s="70">
        <f t="shared" si="1"/>
        <v>1861.3145961992457</v>
      </c>
      <c r="K21" s="94">
        <f t="shared" si="1"/>
        <v>2093.9789207241515</v>
      </c>
      <c r="L21" s="70">
        <f t="shared" si="1"/>
        <v>2326.6432452490576</v>
      </c>
      <c r="M21" s="96">
        <f t="shared" si="1"/>
        <v>2559.3075697739632</v>
      </c>
      <c r="N21" s="70">
        <f t="shared" si="1"/>
        <v>2791.9718942988688</v>
      </c>
      <c r="O21" s="73">
        <f t="shared" si="1"/>
        <v>3024.6362188237745</v>
      </c>
      <c r="P21" s="91">
        <f t="shared" si="1"/>
        <v>3257.3005433486796</v>
      </c>
    </row>
    <row r="22" spans="1:20" ht="13.8" thickTop="1" x14ac:dyDescent="0.25">
      <c r="A22" s="146"/>
      <c r="B22" s="66">
        <v>10</v>
      </c>
      <c r="C22" s="76">
        <f t="shared" si="1"/>
        <v>244.90981528937448</v>
      </c>
      <c r="D22" s="82">
        <f t="shared" si="1"/>
        <v>489.81963057874896</v>
      </c>
      <c r="E22" s="100">
        <f t="shared" si="1"/>
        <v>734.72944586812343</v>
      </c>
      <c r="F22" s="88">
        <f t="shared" si="1"/>
        <v>979.63926115749791</v>
      </c>
      <c r="G22" s="70">
        <f t="shared" si="1"/>
        <v>1224.5490764468723</v>
      </c>
      <c r="H22" s="70">
        <f t="shared" si="1"/>
        <v>1469.4588917362469</v>
      </c>
      <c r="I22" s="70">
        <f t="shared" si="1"/>
        <v>1714.368707025621</v>
      </c>
      <c r="J22" s="70">
        <f t="shared" si="1"/>
        <v>1959.2785223149958</v>
      </c>
      <c r="K22" s="94">
        <f t="shared" si="1"/>
        <v>2204.1883376043702</v>
      </c>
      <c r="L22" s="70">
        <f t="shared" si="1"/>
        <v>2449.0981528937446</v>
      </c>
      <c r="M22" s="96">
        <f t="shared" si="1"/>
        <v>2694.0079681831194</v>
      </c>
      <c r="N22" s="70">
        <f t="shared" si="1"/>
        <v>2938.9177834724937</v>
      </c>
      <c r="O22" s="73">
        <f t="shared" si="1"/>
        <v>3183.8275987618681</v>
      </c>
      <c r="P22" s="91">
        <f t="shared" si="1"/>
        <v>3428.737414051242</v>
      </c>
    </row>
    <row r="23" spans="1:20" ht="27" thickBot="1" x14ac:dyDescent="0.3">
      <c r="R23" s="19" t="s">
        <v>3</v>
      </c>
      <c r="S23" s="19"/>
      <c r="T23" s="24">
        <f>(     ((($T$8+14.69)/14.69)^0.286)-1   ) * 0.2583*T9</f>
        <v>17.519713792225566</v>
      </c>
    </row>
    <row r="24" spans="1:20" ht="23.25" customHeight="1" thickBot="1" x14ac:dyDescent="0.3">
      <c r="E24" s="111"/>
      <c r="F24" s="147" t="s">
        <v>64</v>
      </c>
      <c r="G24" s="147"/>
      <c r="H24" s="148"/>
      <c r="J24" s="59" t="s">
        <v>67</v>
      </c>
      <c r="K24" s="59"/>
      <c r="L24" s="59"/>
      <c r="M24" s="59"/>
      <c r="N24" s="59"/>
      <c r="O24" s="59"/>
    </row>
    <row r="25" spans="1:20" ht="23.25" customHeight="1" thickBot="1" x14ac:dyDescent="0.3">
      <c r="E25" s="112"/>
      <c r="F25" s="147" t="s">
        <v>65</v>
      </c>
      <c r="G25" s="147"/>
      <c r="H25" s="148"/>
    </row>
    <row r="26" spans="1:20" ht="23.25" customHeight="1" thickBot="1" x14ac:dyDescent="0.3">
      <c r="E26" s="113"/>
      <c r="F26" s="147" t="s">
        <v>66</v>
      </c>
      <c r="G26" s="147"/>
      <c r="H26" s="148"/>
    </row>
    <row r="29" spans="1:20" x14ac:dyDescent="0.25">
      <c r="C29" s="71"/>
    </row>
    <row r="30" spans="1:20" x14ac:dyDescent="0.25">
      <c r="C30" s="71"/>
    </row>
    <row r="33" spans="3:3" x14ac:dyDescent="0.25">
      <c r="C33" s="71"/>
    </row>
    <row r="34" spans="3:3" x14ac:dyDescent="0.25">
      <c r="C34" s="71"/>
    </row>
    <row r="35" spans="3:3" x14ac:dyDescent="0.25">
      <c r="C35" s="71"/>
    </row>
  </sheetData>
  <mergeCells count="5">
    <mergeCell ref="C1:P1"/>
    <mergeCell ref="A3:A22"/>
    <mergeCell ref="F24:H24"/>
    <mergeCell ref="F25:H25"/>
    <mergeCell ref="F26:H26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7169" r:id="rId4">
          <objectPr defaultSize="0" autoPict="0" r:id="rId5">
            <anchor moveWithCells="1">
              <from>
                <xdr:col>20</xdr:col>
                <xdr:colOff>312420</xdr:colOff>
                <xdr:row>0</xdr:row>
                <xdr:rowOff>152400</xdr:rowOff>
              </from>
              <to>
                <xdr:col>25</xdr:col>
                <xdr:colOff>266700</xdr:colOff>
                <xdr:row>4</xdr:row>
                <xdr:rowOff>45720</xdr:rowOff>
              </to>
            </anchor>
          </objectPr>
        </oleObject>
      </mc:Choice>
      <mc:Fallback>
        <oleObject progId="AcroExch.Document.7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Pump Operating Cost</vt:lpstr>
      <vt:lpstr>Pump Comparison</vt:lpstr>
      <vt:lpstr>Plant Evaluation</vt:lpstr>
      <vt:lpstr>Savings Chart</vt:lpstr>
    </vt:vector>
  </TitlesOfParts>
  <Company>Wilden Pump &amp; Engineering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Duncan</dc:creator>
  <cp:lastModifiedBy>Anderson, Christine</cp:lastModifiedBy>
  <dcterms:created xsi:type="dcterms:W3CDTF">2004-10-06T16:44:06Z</dcterms:created>
  <dcterms:modified xsi:type="dcterms:W3CDTF">2017-10-02T23:53:02Z</dcterms:modified>
</cp:coreProperties>
</file>